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14" firstSheet="7" activeTab="0"/>
  </bookViews>
  <sheets>
    <sheet name="Instruktioner" sheetId="1" r:id="rId1"/>
    <sheet name="1. Grundinformation" sheetId="2" r:id="rId2"/>
    <sheet name="2. Elektricitet" sheetId="3" r:id="rId3"/>
    <sheet name="3. Värme" sheetId="4" r:id="rId4"/>
    <sheet name="4. Koldioksid" sheetId="5" r:id="rId5"/>
    <sheet name="5. Plantor&amp;lök" sheetId="6" r:id="rId6"/>
    <sheet name="6. Gödselmedel" sheetId="7" r:id="rId7"/>
    <sheet name="7. Växtunderlag" sheetId="8" r:id="rId8"/>
    <sheet name="8. Förpackningar" sheetId="9" r:id="rId9"/>
    <sheet name="9. Transport" sheetId="10" r:id="rId10"/>
    <sheet name="10. Avfall" sheetId="11" r:id="rId11"/>
    <sheet name="11. Konverter" sheetId="12" r:id="rId12"/>
    <sheet name="12. Resultat" sheetId="13" r:id="rId13"/>
    <sheet name="Lämpöarvot&amp;hyötysuhteet" sheetId="14" state="veryHidden" r:id="rId14"/>
    <sheet name="Päästökertoimet" sheetId="15" state="veryHidden" r:id="rId15"/>
    <sheet name="Ekvivalenttikertoimet" sheetId="16" state="veryHidden" r:id="rId16"/>
    <sheet name="Hiilijalanjäljet" sheetId="17" state="veryHidden" r:id="rId17"/>
    <sheet name="Taul1" sheetId="18" r:id="rId18"/>
  </sheets>
  <definedNames>
    <definedName name="_xlnm._FilterDatabase" localSheetId="3" hidden="1">'3. Värme'!$A$1:$B$32</definedName>
  </definedNames>
  <calcPr fullCalcOnLoad="1"/>
</workbook>
</file>

<file path=xl/comments15.xml><?xml version="1.0" encoding="utf-8"?>
<comments xmlns="http://schemas.openxmlformats.org/spreadsheetml/2006/main">
  <authors>
    <author>Merja Saarinen</author>
    <author>etl119</author>
  </authors>
  <commentList>
    <comment ref="C159" authorId="0">
      <text>
        <r>
          <rPr>
            <b/>
            <sz val="8"/>
            <rFont val="Tahoma"/>
            <family val="2"/>
          </rPr>
          <t>Merja Saarinen:</t>
        </r>
        <r>
          <rPr>
            <sz val="8"/>
            <rFont val="Tahoma"/>
            <family val="2"/>
          </rPr>
          <t xml:space="preserve">
Pello Y 1, Yaran nettisivulta 5/2008</t>
        </r>
      </text>
    </comment>
    <comment ref="B162" authorId="0">
      <text>
        <r>
          <rPr>
            <b/>
            <sz val="8"/>
            <rFont val="Tahoma"/>
            <family val="2"/>
          </rPr>
          <t>Merja Saarinen:</t>
        </r>
        <r>
          <rPr>
            <sz val="8"/>
            <rFont val="Tahoma"/>
            <family val="2"/>
          </rPr>
          <t xml:space="preserve">
Grönroos ja Voutilainen (2001): Maatalouden tuotantotavat ja ympäristö, inventaarioanalyysin tulokset.</t>
        </r>
      </text>
    </comment>
    <comment ref="H123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43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4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9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0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2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70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8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9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6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8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5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6" authorId="1">
      <text>
        <r>
          <rPr>
            <b/>
            <sz val="8"/>
            <rFont val="Tahoma"/>
            <family val="2"/>
          </rPr>
          <t>Poimittu Ecoinventistä</t>
        </r>
      </text>
    </comment>
  </commentList>
</comments>
</file>

<file path=xl/sharedStrings.xml><?xml version="1.0" encoding="utf-8"?>
<sst xmlns="http://schemas.openxmlformats.org/spreadsheetml/2006/main" count="1432" uniqueCount="663">
  <si>
    <t>Yksikkö</t>
  </si>
  <si>
    <t>Maakaasu</t>
  </si>
  <si>
    <t>Puuhake</t>
  </si>
  <si>
    <t>kg</t>
  </si>
  <si>
    <t>m3</t>
  </si>
  <si>
    <t>Energianlähde</t>
  </si>
  <si>
    <t>Polttoainekulutus</t>
  </si>
  <si>
    <t>Ostosähkö</t>
  </si>
  <si>
    <t>Vesijohtovesi</t>
  </si>
  <si>
    <t>kpl</t>
  </si>
  <si>
    <t>Kuljetuslaji</t>
  </si>
  <si>
    <t>Kasvualusta</t>
  </si>
  <si>
    <t>Turve</t>
  </si>
  <si>
    <t>Perliitti</t>
  </si>
  <si>
    <t>NPK(S) 18-8-16</t>
  </si>
  <si>
    <t>NPK(S) 23-7-7</t>
  </si>
  <si>
    <t>NPK(S) 24-9-5</t>
  </si>
  <si>
    <t>NPK(S) 26-5-4</t>
  </si>
  <si>
    <t>N(S) 27</t>
  </si>
  <si>
    <t>NK(NaS) 20-8</t>
  </si>
  <si>
    <t>NPK(S) 8-11-23</t>
  </si>
  <si>
    <t>NPK(S) 6-12-24</t>
  </si>
  <si>
    <t>NPK(S) 11-11-21</t>
  </si>
  <si>
    <t>NPK(S) 12-11-18</t>
  </si>
  <si>
    <t>NPK(S) 10-5-29 blend</t>
  </si>
  <si>
    <t>NK(S) 14-0-25 blend</t>
  </si>
  <si>
    <t>Ammoniumnitraatti</t>
  </si>
  <si>
    <t>Yara</t>
  </si>
  <si>
    <t>Nimike</t>
  </si>
  <si>
    <t>Tuotantopaikka</t>
  </si>
  <si>
    <t>Kemira</t>
  </si>
  <si>
    <t>Pellon Typpi Y-lannos</t>
  </si>
  <si>
    <t>26-2-3-2</t>
  </si>
  <si>
    <t>GrowHow:lta Foodchainin yhteydessä</t>
  </si>
  <si>
    <t>Siilinjärvi</t>
  </si>
  <si>
    <t>Pellon Y 3</t>
  </si>
  <si>
    <t>21-3-9-3</t>
  </si>
  <si>
    <t>Uusikaupunki</t>
  </si>
  <si>
    <t>Hydro agri AB</t>
  </si>
  <si>
    <t xml:space="preserve">NPK Svavel </t>
  </si>
  <si>
    <t>21-3-10-3,6</t>
  </si>
  <si>
    <t>kirjallisuus</t>
  </si>
  <si>
    <t>Ruotsi</t>
  </si>
  <si>
    <t>Pellon Y 4</t>
  </si>
  <si>
    <t xml:space="preserve">20-2-12-2 </t>
  </si>
  <si>
    <t>Ilomäki (1999)</t>
  </si>
  <si>
    <t>1996, 1998</t>
  </si>
  <si>
    <t>Pellon Y 5</t>
  </si>
  <si>
    <t>22-5-5-2</t>
  </si>
  <si>
    <t>Pellon Y 7</t>
  </si>
  <si>
    <t>Suomensalpietari</t>
  </si>
  <si>
    <t>27-0-1-4</t>
  </si>
  <si>
    <t>0-14-0</t>
  </si>
  <si>
    <t>0-0-5</t>
  </si>
  <si>
    <t>Tärkkelysperunan Y 1</t>
  </si>
  <si>
    <t>12-5-14-9</t>
  </si>
  <si>
    <t>0-9-0-11</t>
  </si>
  <si>
    <t>Liettua</t>
  </si>
  <si>
    <t>27-0-0</t>
  </si>
  <si>
    <t>Köping, Ruosi</t>
  </si>
  <si>
    <t>Venäjä</t>
  </si>
  <si>
    <t>Gotlanti</t>
  </si>
  <si>
    <t>Harjavalta</t>
  </si>
  <si>
    <t>Sotkamo</t>
  </si>
  <si>
    <t>Kokkola</t>
  </si>
  <si>
    <t>NK-raaka-aine</t>
  </si>
  <si>
    <t>Ecoinvent</t>
  </si>
  <si>
    <t>Syke; maksullinen database</t>
  </si>
  <si>
    <t>Tiedot vuodelta</t>
  </si>
  <si>
    <t>Valmistaja</t>
  </si>
  <si>
    <t>kgCO2 /kg lannoitetta</t>
  </si>
  <si>
    <t>kgN2O /kg lannoitetta</t>
  </si>
  <si>
    <t>kgCH4 /kg lannoitetta</t>
  </si>
  <si>
    <t>Lähde</t>
  </si>
  <si>
    <t>18-8-16</t>
  </si>
  <si>
    <t>N-P-K(-S)</t>
  </si>
  <si>
    <t>23-7-7</t>
  </si>
  <si>
    <t>24-9-5</t>
  </si>
  <si>
    <t>26-5-4</t>
  </si>
  <si>
    <t>20-0-8</t>
  </si>
  <si>
    <t>8-11-23</t>
  </si>
  <si>
    <t>6-12-24</t>
  </si>
  <si>
    <t>11-11-21</t>
  </si>
  <si>
    <t>12-11-18</t>
  </si>
  <si>
    <t>10-5-29</t>
  </si>
  <si>
    <t>14-0-25</t>
  </si>
  <si>
    <t>Kalkkisalpietari (CaN)</t>
  </si>
  <si>
    <t>Biotiitti</t>
  </si>
  <si>
    <t>Apatiitti</t>
  </si>
  <si>
    <t>Salpietari</t>
  </si>
  <si>
    <t xml:space="preserve">Muunnoskertoimet </t>
  </si>
  <si>
    <t>Lämpöarvo</t>
  </si>
  <si>
    <t>Huom</t>
  </si>
  <si>
    <t>KIVIHIILI</t>
  </si>
  <si>
    <t>MJ/kg</t>
  </si>
  <si>
    <t>bituminen kivihiili</t>
  </si>
  <si>
    <t>MAAKAASU</t>
  </si>
  <si>
    <t>TURVE</t>
  </si>
  <si>
    <t>jyrsinturve</t>
  </si>
  <si>
    <t>MUU FOSSIILINEN</t>
  </si>
  <si>
    <t>PUU</t>
  </si>
  <si>
    <t>metsätähdehake tai -murske</t>
  </si>
  <si>
    <t>MUU BIO</t>
  </si>
  <si>
    <t>muu biokaasu</t>
  </si>
  <si>
    <r>
      <t>MJ/m</t>
    </r>
    <r>
      <rPr>
        <vertAlign val="superscript"/>
        <sz val="11"/>
        <rFont val="Arial"/>
        <family val="2"/>
      </rPr>
      <t>3</t>
    </r>
  </si>
  <si>
    <t>2. Sähkö</t>
  </si>
  <si>
    <t>3. Lämpö</t>
  </si>
  <si>
    <t>Lämpöarvot &amp; hyötysuhteet</t>
  </si>
  <si>
    <t>Hyötysuhde, lämpö: erillistuotanto</t>
  </si>
  <si>
    <t>Hyötysuhde lämpö: CHP</t>
  </si>
  <si>
    <t>Hyötysuhde sähkö: erillistuotanto</t>
  </si>
  <si>
    <t>Hyötysuhde sähkö: CHP</t>
  </si>
  <si>
    <t>NESTEKAASU</t>
  </si>
  <si>
    <t>MUU</t>
  </si>
  <si>
    <t>Lämpöarvot Tilastokeskuksen polttoaineluokituksesta</t>
  </si>
  <si>
    <t>esim. vety</t>
  </si>
  <si>
    <t>Raskas polttoöljy, erillistuotanto</t>
  </si>
  <si>
    <t>Raskas polttoöljy, CHP</t>
  </si>
  <si>
    <t>Kevyt polttoöljy, erillistuotanto</t>
  </si>
  <si>
    <t>Kevyt polttoöljy, CHP</t>
  </si>
  <si>
    <t>Maakaasu, erillistuotanto</t>
  </si>
  <si>
    <t>Maakaasu, CHP</t>
  </si>
  <si>
    <t>Nestekaasu, erillistuotanto</t>
  </si>
  <si>
    <t>Nestekaasu, CHP</t>
  </si>
  <si>
    <t>Palaturve, erillistuotanto</t>
  </si>
  <si>
    <t>Palaturve, CHP</t>
  </si>
  <si>
    <t>Puuhake, erillistuotanto</t>
  </si>
  <si>
    <t>Puuhake, CHP</t>
  </si>
  <si>
    <t>Muu uusiutuva, erillistuotanto</t>
  </si>
  <si>
    <t>Muu uusiutuva, CHP</t>
  </si>
  <si>
    <t>Kivihiili, erillistuotanto</t>
  </si>
  <si>
    <t>Kivihiili, CHP</t>
  </si>
  <si>
    <t>RASKAS POLTTOÖLJY</t>
  </si>
  <si>
    <t>KEVYT POLTTOÖLJY</t>
  </si>
  <si>
    <t>Muu fossiilinen</t>
  </si>
  <si>
    <t>Muu fossiilinen, erillistuotanto</t>
  </si>
  <si>
    <t>Muu</t>
  </si>
  <si>
    <t>Ostolämpö</t>
  </si>
  <si>
    <t>Muu fossiilinen, CHP</t>
  </si>
  <si>
    <t>Ostolämmön energialähteiden jakauma ja ominaispäästöt löytyvät joko laskusta tai energiamyyjän www-sivuilta.</t>
  </si>
  <si>
    <t>Ostettu lämpöenergia</t>
  </si>
  <si>
    <t>Ominaispäästö</t>
  </si>
  <si>
    <t>gCO2/kWh</t>
  </si>
  <si>
    <t>Energialähteiden osuudet</t>
  </si>
  <si>
    <t>Fossiilinen, erittelemätön</t>
  </si>
  <si>
    <t>Uusiutuva, erittelemätön</t>
  </si>
  <si>
    <t>%</t>
  </si>
  <si>
    <t>Kivihiili</t>
  </si>
  <si>
    <t>Öljy (raskas tai kevyt)</t>
  </si>
  <si>
    <t>Muu uusiutuva</t>
  </si>
  <si>
    <t>Muu, erillistuotanto</t>
  </si>
  <si>
    <t>Muu, CHP</t>
  </si>
  <si>
    <t>kgCO2-ekv/kg</t>
  </si>
  <si>
    <t>CO2</t>
  </si>
  <si>
    <t>Kertoimet, joilla päästökomponentit muutetan CO2-ekvivalenteiksi</t>
  </si>
  <si>
    <t>Nykyiset kertoimet: IPCC 2006</t>
  </si>
  <si>
    <t>N2O</t>
  </si>
  <si>
    <t>CH4</t>
  </si>
  <si>
    <t>Päästökomponentti</t>
  </si>
  <si>
    <t>Ekvivalenttikerroin</t>
  </si>
  <si>
    <t>Yhteensä</t>
  </si>
  <si>
    <t>CO2-ekv</t>
  </si>
  <si>
    <t>CO2-ekv (kg)</t>
  </si>
  <si>
    <t>kgCO2/yksikkö</t>
  </si>
  <si>
    <t>kgN2O/yksikkö</t>
  </si>
  <si>
    <t>kgCH4/yksikkö</t>
  </si>
  <si>
    <t>kgCO2-ekv/yksikkö</t>
  </si>
  <si>
    <t>Tuotantomuoto</t>
  </si>
  <si>
    <t>Oma tuotanto</t>
  </si>
  <si>
    <t>Kertoimet ilman polttoa, koska poltto tulee ominaispäästöstä (kts. Lämmön tuotantotietojen keruusivu)</t>
  </si>
  <si>
    <t>MWh</t>
  </si>
  <si>
    <t>Kuten kivihiili, paitsi lämpöarvo ja polton CO2 nestekaasun mukaan</t>
  </si>
  <si>
    <t>hyötysuhteet otettu maakaasun hyötysuhteista</t>
  </si>
  <si>
    <t>Päästö (kgCO2-ekv)</t>
  </si>
  <si>
    <t>Oma sähköntuotanto</t>
  </si>
  <si>
    <t>Ostettu sähköenergia</t>
  </si>
  <si>
    <t>Keskimääräinen kaukolämpö</t>
  </si>
  <si>
    <t>Keskimääräisellä kaukolämmöllä lasketaan vain, jos 1)lämmön lähdettä ei tunneta 2)lämpölähteitä on lukuisia 3)kuvataan Suomen keskimääräistä tilannetta</t>
  </si>
  <si>
    <t>Keskimääräinen sähkö</t>
  </si>
  <si>
    <t>Ydinvoima</t>
  </si>
  <si>
    <t>Vesivoima</t>
  </si>
  <si>
    <t>Tuulivoima</t>
  </si>
  <si>
    <t>Aurinkovoima</t>
  </si>
  <si>
    <t>Muu biopolttoaine, erillistuotanto</t>
  </si>
  <si>
    <t>Muu biopolttoaine, CHP</t>
  </si>
  <si>
    <t>Saksa</t>
  </si>
  <si>
    <t>Ammoniakki</t>
  </si>
  <si>
    <t xml:space="preserve">Kalkki </t>
  </si>
  <si>
    <t>Fosforihappo (H3PO4)</t>
  </si>
  <si>
    <t>Rikkihappo (H2SO4)</t>
  </si>
  <si>
    <t>Talkki (Mg3Si4O10(OH)2)</t>
  </si>
  <si>
    <t>Kaliumsulfaatti (K2SO4)</t>
  </si>
  <si>
    <t>Typpihappo (HNO3)</t>
  </si>
  <si>
    <t>Magnesiumsulfaatti</t>
  </si>
  <si>
    <t>Ammoniumnitraattifosfaatti, typpenä</t>
  </si>
  <si>
    <t>Ammoniumnitraattifosfaatti, P205:nä</t>
  </si>
  <si>
    <t xml:space="preserve">Ammoniumnitraatti </t>
  </si>
  <si>
    <t>Kalsiumammoniumnitraatti</t>
  </si>
  <si>
    <t>Kalsiumnitraatti</t>
  </si>
  <si>
    <t>Kaliumnitraatti, K2O:na</t>
  </si>
  <si>
    <t>Kaliumnitraatti, typpenä</t>
  </si>
  <si>
    <t>Superfosfaatti (kalsiumdivetyfosfaatin ja kalsiumsulfaatin seos)</t>
  </si>
  <si>
    <t>Kolmoissuperfosfaatti (kalsiumdivetyfosfaatti)</t>
  </si>
  <si>
    <t>Leväkalkki</t>
  </si>
  <si>
    <t>Kalsiumkarbonaatti, CaCO3</t>
  </si>
  <si>
    <t xml:space="preserve">Ammoniumsulfaatti </t>
  </si>
  <si>
    <t>Yleinen</t>
  </si>
  <si>
    <t>Kaliumkloridi (KCl)</t>
  </si>
  <si>
    <t>Kaliumkloridi (KCl), K2O:na</t>
  </si>
  <si>
    <t>Monoammoniumfosfaatti, typpenä</t>
  </si>
  <si>
    <t>Monoammoniumfosfaatti, P2O5:na</t>
  </si>
  <si>
    <t>Diammoniumfosfaatti, typpenä</t>
  </si>
  <si>
    <t>Diammoniumfosfaatti, P2O5:na</t>
  </si>
  <si>
    <t>Kaliumsulfaatti (K2SO4), K2O:na</t>
  </si>
  <si>
    <t>Lähde: Heli Yrjänäinen, MTT: laskelmat Foodprint-metodologian päästökertoimien pohjalle</t>
  </si>
  <si>
    <t>Grodan</t>
  </si>
  <si>
    <t>Tuote</t>
  </si>
  <si>
    <t>Vital</t>
  </si>
  <si>
    <t>Kivivilla, kevyt</t>
  </si>
  <si>
    <t>Kivivilla, painava</t>
  </si>
  <si>
    <t>Grotop master</t>
  </si>
  <si>
    <t>Kool &amp; Blonk 2011</t>
  </si>
  <si>
    <t>Muuta</t>
  </si>
  <si>
    <t>Raaka-aineen hankinta, valmistus &amp; kuljetus Suomeen</t>
  </si>
  <si>
    <t>Valmistajien ja kirjallisuuden tiedoista. Kuljetuksia muokattu ja täydennetty Lipaston tietojen avulla.</t>
  </si>
  <si>
    <t>Nordisk Perlite</t>
  </si>
  <si>
    <t>Nordisk Perlite 2012</t>
  </si>
  <si>
    <t>Raaka-aineen valmistus (paisutus) ja kuljetus ensin Turkista/Kreikasta Tanskaan, josta sitten Suomeen</t>
  </si>
  <si>
    <t>Vermikuliitti</t>
  </si>
  <si>
    <t>Vermipu Oy</t>
  </si>
  <si>
    <t>Raaka-aineen valmistus (paisutus) ja kuljetus</t>
  </si>
  <si>
    <t>Kookoskuitu</t>
  </si>
  <si>
    <t>Raaka-aineen tuotanto Intiassa ja kuljetus Suomeen</t>
  </si>
  <si>
    <t>Hohkakivi</t>
  </si>
  <si>
    <t>Raaka-aineen louhinta, pesu ja kuljetus Suomeen Islannista</t>
  </si>
  <si>
    <t>Myllymaa et al. 2008 (SYKE)</t>
  </si>
  <si>
    <t>Raaka-aineen otto, ka-prosentti 50%</t>
  </si>
  <si>
    <t>Osa lannoitteista on valmistajakohtaisia, osa yleisiä, sovellettavissa mille tahansa valmistajalle.</t>
  </si>
  <si>
    <t>Päästökertoimet</t>
  </si>
  <si>
    <t>kgCO2 /yksikkö</t>
  </si>
  <si>
    <t>kgN2O /yksikkö</t>
  </si>
  <si>
    <t>kgCH4 /yksikkö</t>
  </si>
  <si>
    <t>Pahvilaatikko, 5 kg:lle tomaatteja (paino 179g)</t>
  </si>
  <si>
    <t>Pahvilaatikko, 10 kg:lle kurkkua (paino 370g)</t>
  </si>
  <si>
    <t>Aaltopahvi, neitseellinen</t>
  </si>
  <si>
    <t>Aaltopahvi, kierrätyskuitu</t>
  </si>
  <si>
    <t>Henkilöauto, bensiini</t>
  </si>
  <si>
    <t>35% katuajo, 65% maantieajo</t>
  </si>
  <si>
    <t>LIPASTO</t>
  </si>
  <si>
    <t>Henkilöauto, diesel</t>
  </si>
  <si>
    <t>Maantieajo</t>
  </si>
  <si>
    <t>Pakettiauto, diesel, tyhjä</t>
  </si>
  <si>
    <t>Pakettiauto, diesel, täysi</t>
  </si>
  <si>
    <t>Jakelukuorma-auto, pieni (6t), tyhjä</t>
  </si>
  <si>
    <t>Jakelukuorma-auto, pieni (6t), täysi</t>
  </si>
  <si>
    <t>Jakelukuorma-auto, suuri (15t), tyhjä</t>
  </si>
  <si>
    <t>Jakelukuorma-auto, suuri (15t), täysi</t>
  </si>
  <si>
    <t>Puoliperävaunu (40t), tyhjä</t>
  </si>
  <si>
    <t>Puoliperävaunu (40t), täysi</t>
  </si>
  <si>
    <t>Kulutus (l/100km)</t>
  </si>
  <si>
    <t>Täysperävaunu (60t), tyhjä</t>
  </si>
  <si>
    <t>Täysperävaunu (60t), täysi</t>
  </si>
  <si>
    <t>Tomaatti</t>
  </si>
  <si>
    <t>Kurkku</t>
  </si>
  <si>
    <t>kgCO2/1000l</t>
  </si>
  <si>
    <t>kgN2O/1000l</t>
  </si>
  <si>
    <t>kgCH4/1000l</t>
  </si>
  <si>
    <t>kgCO2-ekv/1000l</t>
  </si>
  <si>
    <t>Tulokset</t>
  </si>
  <si>
    <t>4. Hiilidioksidi</t>
  </si>
  <si>
    <t>5. Vesi</t>
  </si>
  <si>
    <t>8. Kasvualusta</t>
  </si>
  <si>
    <t>7. Lannoitteet</t>
  </si>
  <si>
    <t>9. Pakkaukset</t>
  </si>
  <si>
    <t>10. Kuljetukset</t>
  </si>
  <si>
    <t>11. Jätteet</t>
  </si>
  <si>
    <t>Ostettu hiilidioksidi</t>
  </si>
  <si>
    <t>6. Taimet/sipulit</t>
  </si>
  <si>
    <t>kgCH4/Nm3</t>
  </si>
  <si>
    <t>kgN2O/Nm3</t>
  </si>
  <si>
    <t>kgCO2/Nm3</t>
  </si>
  <si>
    <t>kgCO2-ekv/Nm3</t>
  </si>
  <si>
    <t>Air Liquiden ja AGA:n keskiarvo</t>
  </si>
  <si>
    <t>Muovikelmu, kurkku, Muovijaloste</t>
  </si>
  <si>
    <t>Muovijaloste</t>
  </si>
  <si>
    <t>Rani-Plast</t>
  </si>
  <si>
    <t>Muovikelmu, kurkku, Rani-Plast</t>
  </si>
  <si>
    <t>Pyroll</t>
  </si>
  <si>
    <t>Muovikelmu, kurkku, yleinen</t>
  </si>
  <si>
    <t>keskiarvo</t>
  </si>
  <si>
    <t>Polypropeeni</t>
  </si>
  <si>
    <t>Polyeteeni</t>
  </si>
  <si>
    <t>Muovipussi, salaatti</t>
  </si>
  <si>
    <t>Salaattiruukku</t>
  </si>
  <si>
    <t>Tulppaani, sipuli, ei lämpökäsitelty</t>
  </si>
  <si>
    <t>Tulpaani, sipuli, lämpökäsitelty</t>
  </si>
  <si>
    <t>1000 kpl</t>
  </si>
  <si>
    <t>Magnesium</t>
  </si>
  <si>
    <t>Norja</t>
  </si>
  <si>
    <t>kgN2O /kg kasvualustaa</t>
  </si>
  <si>
    <t>kgCO2 /kg kasvualustaa</t>
  </si>
  <si>
    <t>kgCH4 /kg kasvualustaa</t>
  </si>
  <si>
    <t>kgCO2-ekv/kg kasvualustaa</t>
  </si>
  <si>
    <t>kgCO2 /km</t>
  </si>
  <si>
    <t>kgN2O /km</t>
  </si>
  <si>
    <t>kgCH4 /km</t>
  </si>
  <si>
    <t>kgCO2-ekv/km</t>
  </si>
  <si>
    <t>kgN2O /kg</t>
  </si>
  <si>
    <t>kgCH4 /kg</t>
  </si>
  <si>
    <t>Sekajäte, paperi</t>
  </si>
  <si>
    <t>Kompostijäte, muu kuin turve</t>
  </si>
  <si>
    <t>Kompostijäte, turve</t>
  </si>
  <si>
    <t>Myllymaa et al.</t>
  </si>
  <si>
    <t>Metodologia</t>
  </si>
  <si>
    <t>Kurkku, taimi</t>
  </si>
  <si>
    <t>Tomaatti, taimi</t>
  </si>
  <si>
    <t>Tulppaani, lämpökäsitelty</t>
  </si>
  <si>
    <t>Tulppaani, lämpökäsittelemätön</t>
  </si>
  <si>
    <t>Lannoitteiden kuljetukset</t>
  </si>
  <si>
    <t>Valmistaja 1</t>
  </si>
  <si>
    <t>Valmistaja 2</t>
  </si>
  <si>
    <t>Lannoitteiden paino yhteensä (kg)</t>
  </si>
  <si>
    <t>Matka valmistajalta käyttöpaikalle (km)</t>
  </si>
  <si>
    <t>Valmistaja 3</t>
  </si>
  <si>
    <t>Kasvualustojen kuljetukset</t>
  </si>
  <si>
    <t>Kasvualustojen paino yhteensä (kg)</t>
  </si>
  <si>
    <t>Muut kuljetukset</t>
  </si>
  <si>
    <t>Pakkausten kuljetukset</t>
  </si>
  <si>
    <t>kgCO2/kg</t>
  </si>
  <si>
    <t>Kompostijäte, kurkkutuotanto, valotus</t>
  </si>
  <si>
    <t>Kompostijäte, kurkkutuotanto, ei valotusta</t>
  </si>
  <si>
    <t>Kompostijäte, tomaattituotanto, valotus</t>
  </si>
  <si>
    <t>Kompostijäte, tomaattituotanto, ei valotusta</t>
  </si>
  <si>
    <t>Kompostijäte, muu</t>
  </si>
  <si>
    <t>t kurkkua</t>
  </si>
  <si>
    <t>t tomaattia</t>
  </si>
  <si>
    <t>kgCO2-ekv/yks</t>
  </si>
  <si>
    <t>MTT</t>
  </si>
  <si>
    <t>Sekäjäte, ruoka</t>
  </si>
  <si>
    <t>Sekajäte, muovi</t>
  </si>
  <si>
    <t>Frans</t>
  </si>
  <si>
    <t>Poltettava jäte, muovi</t>
  </si>
  <si>
    <t>Futupack</t>
  </si>
  <si>
    <t>t salaattia</t>
  </si>
  <si>
    <t>Kompostijäte, salaatti</t>
  </si>
  <si>
    <t>abbbc</t>
  </si>
  <si>
    <t>l</t>
  </si>
  <si>
    <t>MJ</t>
  </si>
  <si>
    <t>kWh</t>
  </si>
  <si>
    <t>Stora Enso</t>
  </si>
  <si>
    <t>Jousi Oy</t>
  </si>
  <si>
    <t>Hohenthal ja Wessmann 2003</t>
  </si>
  <si>
    <t>Plastics Europe</t>
  </si>
  <si>
    <t>Salaattiruukku (paino 1,6g)</t>
  </si>
  <si>
    <t>Kukkaruukku (10g)</t>
  </si>
  <si>
    <t>Kukkaruukku (paino 10g)</t>
  </si>
  <si>
    <t>Pöppelmann</t>
  </si>
  <si>
    <t>8. Pakkaukset</t>
  </si>
  <si>
    <t>6. Lannoitteet</t>
  </si>
  <si>
    <t>9. Kuljetukset</t>
  </si>
  <si>
    <t>10. Jätteet</t>
  </si>
  <si>
    <t>Salaattipussi (paino 5g)</t>
  </si>
  <si>
    <t>Kukkaruukku</t>
  </si>
  <si>
    <t>Muovikelmu, kurkku</t>
  </si>
  <si>
    <t>Pahvilaatikko, keskimääräinen</t>
  </si>
  <si>
    <t>Kelmu, kurkku (paino 2,33g)</t>
  </si>
  <si>
    <t>Bensiini (litraa)</t>
  </si>
  <si>
    <t>Diesel (litraa)</t>
  </si>
  <si>
    <t>Jakelun kuljetukset</t>
  </si>
  <si>
    <t>Energialähteet, hankinta</t>
  </si>
  <si>
    <t>kgCO2-ekv</t>
  </si>
  <si>
    <t>MTT, Näkkilä</t>
  </si>
  <si>
    <t>5. Taimet&amp;sipulit</t>
  </si>
  <si>
    <t>Kivivilla</t>
  </si>
  <si>
    <t>7. Kasvualusta</t>
  </si>
  <si>
    <t>Pakkaus</t>
  </si>
  <si>
    <t>Laskurin versio 10.1.2013</t>
  </si>
  <si>
    <t>Mikäli tietoja ei löydy, syötä kulutettu lämpö keskimääräisenä kaukolämpönä (alin kohta).</t>
  </si>
  <si>
    <t>Etsi käyttämäsi lannoitteet listauksesta, ja syötä näihin lannoitteiden käyttömäärät tarkasteltavana ajanjaksona.</t>
  </si>
  <si>
    <t>NPK-lannoite</t>
  </si>
  <si>
    <t xml:space="preserve">NPK-lannoitteista syötetään myös typen määrä. </t>
  </si>
  <si>
    <t>Esim. typpilannoitteen osalta voitte käyttää ammoniumnitraattia, kaliumin osalta kaliumkloridia ja fosforin osalta superfosfaattia</t>
  </si>
  <si>
    <t>Mikäli käyttämääsi lannoitetta ei löydy (sama valmistaja tai yleinen), voit syöttää lannoitteen tiedot sitä parhaiten vastaavalle muulle tuotteelle.</t>
  </si>
  <si>
    <t>Ammoniumnitraatti, kotimainen</t>
  </si>
  <si>
    <t>Ammoniumnitraatti, muu</t>
  </si>
  <si>
    <t>Ammoniumnitraattifosfaatti, N 8,4 %, P2O5 52 %</t>
  </si>
  <si>
    <t>Ammoniumnitraattifosfaatti lannoitteena</t>
  </si>
  <si>
    <t>Diammoniumfosfaatti lannoitteena</t>
  </si>
  <si>
    <t>Kaliumnitraatti, lannoitteena</t>
  </si>
  <si>
    <t>Kaliumnitraatti lannoittena</t>
  </si>
  <si>
    <t>Monoammoniumfosfaatti lannoitteena</t>
  </si>
  <si>
    <t>Superfosfaatti P2O5:nä</t>
  </si>
  <si>
    <t>Superfosfaatti P2O5.nä</t>
  </si>
  <si>
    <t>Superfosfaatti lannoitteena</t>
  </si>
  <si>
    <t>Boldrin et al. 2010</t>
  </si>
  <si>
    <t>Kalkylator för klimatpåverkan av växthusprodukter</t>
  </si>
  <si>
    <t>Detta är en kalkylator för koldioxidavtryck i växthusproduktion, som skapats i Jord- och skogsbruksministeriets, Handelsträdgårdsförbundets, SLC:s samt MTT:s projekt Greenhouse Carbon.</t>
  </si>
  <si>
    <t>Kalkylatorn används i tre steg:</t>
  </si>
  <si>
    <t>1. Välj den tidsperiod, inom vilken du vill  följa din produkts koldioxidavtryck. Kontrollera i räknaren informationen som behövs till kalkylen:</t>
  </si>
  <si>
    <t>du kan göra beräkningen om tidigare perioder, om du har all information som behövs. Om inte, börja insamling av information och gör beräkningen med uppgifterna som samlats för valda tidsperiod.</t>
  </si>
  <si>
    <t>2. Mata in uppgifterna i kalkylatorn. Ange information på flikarna 1-10. Feedcellerna med turkos bakgrund.</t>
  </si>
  <si>
    <t>Datainmatningscell</t>
  </si>
  <si>
    <t>Ifall dina data är i andra enheter än vad som önskas i inmatningscellen, måste de konverteras till rätt enhet. På 11:e fliken finns en konverterare, som kan omvandla</t>
  </si>
  <si>
    <t>data till olika enheter. Inmatning av data vägleds närmare på varje flik.</t>
  </si>
  <si>
    <t>3. Tolkning av resultaten. Räknaren räknar koldioxidavtrycket från varje steg i produktionen på varje flik.</t>
  </si>
  <si>
    <t>Koldioxidavtrycket (kalkylatorn beräknar, kan inte redigeras av användaren)</t>
  </si>
  <si>
    <t xml:space="preserve">Vidare överförs koldioxidavtrycken från de olika stegen i produktionen till fliken Resultat (flik 12), där det totala koldioxidavtrycket beräknas. Det totala koldioxidutsläppet och dess fördelning </t>
  </si>
  <si>
    <t>i olika steg i produktionen kan ses på fliken både för hela produktionen och för definierad funktionell enhet (funktionell enhet definieras på flik 1).</t>
  </si>
  <si>
    <t>1. Grundinformation</t>
  </si>
  <si>
    <t>Ange enhet och skörd i beräkningen.</t>
  </si>
  <si>
    <t>Skörd</t>
  </si>
  <si>
    <t>Enhet</t>
  </si>
  <si>
    <t>som funktionell enhet under uppföljningstiden.</t>
  </si>
  <si>
    <t>t.ex. 1 st., 1000 st., 1 kg, 1000 kg, 1 m3</t>
  </si>
  <si>
    <t>2. Elektricitet</t>
  </si>
  <si>
    <t>Ange data om el under uppföljningsperioden i en inmatningscell, som överensstämmer med hur den använda elen har förvärvats (inköpt el / egen el)</t>
  </si>
  <si>
    <t>Inköpt el</t>
  </si>
  <si>
    <t>Energikällorna och deras fördelning och specifika utsläpp för inköpt el återfinns i antingen elräkningen eller energileverantörens webbplats.</t>
  </si>
  <si>
    <t xml:space="preserve">Om data från energileverantören inte är tillgänglig, ange den el som används i genomsnittlig el (nedersta feedcellen). </t>
  </si>
  <si>
    <t>Inköpt elenergi</t>
  </si>
  <si>
    <t>Specifikt utsläpp</t>
  </si>
  <si>
    <t>Andel av energikällor</t>
  </si>
  <si>
    <t>Fossilt bränsle, ospecificerad</t>
  </si>
  <si>
    <t>Förnybar, ospecificerad</t>
  </si>
  <si>
    <t>Kärnkraft</t>
  </si>
  <si>
    <t>Kol</t>
  </si>
  <si>
    <t>Naturgas</t>
  </si>
  <si>
    <t>Olja (tung eller lätt)</t>
  </si>
  <si>
    <t>Torv</t>
  </si>
  <si>
    <t>Övrigt fossilt bränsle</t>
  </si>
  <si>
    <t>Flis</t>
  </si>
  <si>
    <t>Vattenkraft</t>
  </si>
  <si>
    <t>Vindkraft</t>
  </si>
  <si>
    <t>Solenergi</t>
  </si>
  <si>
    <t>Övrig förnybar</t>
  </si>
  <si>
    <t>Övrig</t>
  </si>
  <si>
    <t>Egen elproduktion</t>
  </si>
  <si>
    <t>Ange data om elförbrukningen i raden / raderna motsvarande det använda bränslet.</t>
  </si>
  <si>
    <t>Ange data för varje bränsle vid den angivna enheten. Om dina data är i olika enheter, omvandla med konvertern på flik 11.</t>
  </si>
  <si>
    <t>Separat produktion = enbart el produceras</t>
  </si>
  <si>
    <t>CHP = Både värme och el produceras</t>
  </si>
  <si>
    <t>Energikälla</t>
  </si>
  <si>
    <t>Kol, separat produktion</t>
  </si>
  <si>
    <t>Kol, CHP</t>
  </si>
  <si>
    <t>Naturgas, separat produktion</t>
  </si>
  <si>
    <t>Naturgas, CHP</t>
  </si>
  <si>
    <t>Tung brännolja, separat produktion</t>
  </si>
  <si>
    <t>Tung brännolja, CHP</t>
  </si>
  <si>
    <t>Lätt brännolja, separat produktion</t>
  </si>
  <si>
    <t>Lätt brännolja, CHP</t>
  </si>
  <si>
    <t>Stycketorv, separat produktion</t>
  </si>
  <si>
    <t>Stycketorv, CHP</t>
  </si>
  <si>
    <t>Övrig fossil, separat produktion</t>
  </si>
  <si>
    <t>Övrig fossil, CHP</t>
  </si>
  <si>
    <t>Flis, separat produktion</t>
  </si>
  <si>
    <t>Flis, CHP</t>
  </si>
  <si>
    <t>Övrigt biobränsle, separat produktion</t>
  </si>
  <si>
    <t>Övrigt biobränsle, CHP</t>
  </si>
  <si>
    <t>Övrig, separat produktion</t>
  </si>
  <si>
    <t>Övrig, CHP</t>
  </si>
  <si>
    <t>Bränsleförbrukning</t>
  </si>
  <si>
    <t>Effektivt värmevärde och effektivitet måste vara kända</t>
  </si>
  <si>
    <t>Energiinnehållet i bränslet = värmevärde × bränsleförbrukning, producerad värme-energi = effektivitet × bränslets energiinnehåll</t>
  </si>
  <si>
    <t>Ange i bränsleförbrukningskolumnet producerad elenergi i megawattimmar</t>
  </si>
  <si>
    <t>Genomsnittlig el</t>
  </si>
  <si>
    <t>Genomsnittlig elförsörjning används endast om 1) strömkällan inte är känt 2) strömkällor är många 3) man beskriver den genomsnittliga situationen i Finland</t>
  </si>
  <si>
    <t>Köpt elenergi</t>
  </si>
  <si>
    <t>Sammanlagt</t>
  </si>
  <si>
    <t>Flytgas, separat produktion</t>
  </si>
  <si>
    <t>Flytgas, CHP</t>
  </si>
  <si>
    <t>Övrigt fossilt bränsle, separat produktion</t>
  </si>
  <si>
    <t>Övrigt fossilt bränsle, CHP</t>
  </si>
  <si>
    <t>Örvigt förnybart bränsle, separat produktion</t>
  </si>
  <si>
    <t>Övrigt förnybart bränsle, CHP</t>
  </si>
  <si>
    <t>Övrigt bränsle, separat produktion</t>
  </si>
  <si>
    <t>Övrigt bränsle, CHP</t>
  </si>
  <si>
    <t xml:space="preserve">Ange data om värmeförbrukningen i raden / raderna motsvarande det använda bränslet. </t>
  </si>
  <si>
    <t>Ange data för varje bränsle vid den angivna enheten. Om din data är i olika enheter, omvandla med konvertern på flik 11.</t>
  </si>
  <si>
    <t>Separat produktion = enbart värme produceras</t>
  </si>
  <si>
    <t>CHP = både värme och el produceras</t>
  </si>
  <si>
    <t>Egen värmeproduktion</t>
  </si>
  <si>
    <t>3. Värme</t>
  </si>
  <si>
    <t xml:space="preserve">Ange data om värmeförbrukning under uppföljningsperioden i en feedcell motsvarande den använda värmekällan (i egen produktion / inköp av värme). </t>
  </si>
  <si>
    <t>4. Koldioksid</t>
  </si>
  <si>
    <t>Ange koldioxidförbrukning under uppföljningsperioden i inköpt mängd koldioxid i kg. Om du vet koldioxidmängen i volym, kan du konvertera på flik 12.</t>
  </si>
  <si>
    <t>Om du använder koldioxid från värmeproduktionen i växthus eller själv producerar koldixid, ange använda bränslen i värmeproduktion.</t>
  </si>
  <si>
    <t>Mängd (kg)</t>
  </si>
  <si>
    <t>Inköpt koldioxid</t>
  </si>
  <si>
    <t>5. Plantor och lökar</t>
  </si>
  <si>
    <t xml:space="preserve">Ange mängden använda plantor eller lökar under uppföljningstiden vid rätt produkt. </t>
  </si>
  <si>
    <t>Om den berörda produkten inte finns här, eller om du producerar dina produkter direkt från frö, kan du lämna den här fliken tom.</t>
  </si>
  <si>
    <t>Använda plantor</t>
  </si>
  <si>
    <t>Tomat</t>
  </si>
  <si>
    <t>Gurka</t>
  </si>
  <si>
    <t>Använda lökar</t>
  </si>
  <si>
    <t>Tulpan, värmebehandlad</t>
  </si>
  <si>
    <t>Tulpan, ej värmebehandlad</t>
  </si>
  <si>
    <t>1000 st.</t>
  </si>
  <si>
    <t>Gödsel</t>
  </si>
  <si>
    <t>Användnings-mängd (kg)</t>
  </si>
  <si>
    <t>Kväveinnehåll (%)</t>
  </si>
  <si>
    <t xml:space="preserve">NPK-gödsel </t>
  </si>
  <si>
    <t xml:space="preserve">Ammoniak </t>
  </si>
  <si>
    <t>Ammoniumnitrat, Yara</t>
  </si>
  <si>
    <t xml:space="preserve">Ammoniumnitrat, övrig </t>
  </si>
  <si>
    <r>
      <t xml:space="preserve">Ammoniumnitratfosfat, som kväve </t>
    </r>
    <r>
      <rPr>
        <b/>
        <sz val="11"/>
        <color indexed="8"/>
        <rFont val="Arial"/>
        <family val="2"/>
      </rPr>
      <t>eller</t>
    </r>
  </si>
  <si>
    <t xml:space="preserve">Ammoniumsulfat </t>
  </si>
  <si>
    <t>Apatit</t>
  </si>
  <si>
    <t>Biotit</t>
  </si>
  <si>
    <r>
      <t xml:space="preserve">Ammoniumnitratfosfat som gödsel </t>
    </r>
    <r>
      <rPr>
        <b/>
        <sz val="11"/>
        <color indexed="8"/>
        <rFont val="Arial"/>
        <family val="2"/>
      </rPr>
      <t>eller</t>
    </r>
  </si>
  <si>
    <r>
      <t>Diammoniumfosfat som gödsel eller</t>
    </r>
    <r>
      <rPr>
        <b/>
        <sz val="11"/>
        <rFont val="Arial"/>
        <family val="2"/>
      </rPr>
      <t>i</t>
    </r>
  </si>
  <si>
    <t>Diammoniumfosfat, som kväve eller</t>
  </si>
  <si>
    <t>Ammoniumnitratfosfat, som P205</t>
  </si>
  <si>
    <t>Diammoniumfosfat, som P205</t>
  </si>
  <si>
    <t>Fosfat</t>
  </si>
  <si>
    <t>Fosforsyra (H3PO4)</t>
  </si>
  <si>
    <t>Kaliumklorid (KCl)</t>
  </si>
  <si>
    <t>Kaliumklorid (KCl), som K2O</t>
  </si>
  <si>
    <t>Kaliumnitrat, som kvävei, typpenä</t>
  </si>
  <si>
    <r>
      <t xml:space="preserve">Kaliumnitrat, som K2O </t>
    </r>
    <r>
      <rPr>
        <b/>
        <sz val="11"/>
        <color indexed="8"/>
        <rFont val="Arial"/>
        <family val="2"/>
      </rPr>
      <t>eller</t>
    </r>
  </si>
  <si>
    <r>
      <t xml:space="preserve">Kaliumnitrat, som gödsel </t>
    </r>
    <r>
      <rPr>
        <b/>
        <sz val="11"/>
        <color indexed="8"/>
        <rFont val="Arial"/>
        <family val="2"/>
      </rPr>
      <t>eller</t>
    </r>
    <r>
      <rPr>
        <sz val="11"/>
        <color indexed="8"/>
        <rFont val="Arial"/>
        <family val="2"/>
      </rPr>
      <t xml:space="preserve"> </t>
    </r>
  </si>
  <si>
    <t>Kaliumsulfat (K2SO4)</t>
  </si>
  <si>
    <t>Kaliumsulfat(K2SO4) som K2O</t>
  </si>
  <si>
    <t>Kalksalpeter (CaN)</t>
  </si>
  <si>
    <t>Kalsiumammoniumnitrat</t>
  </si>
  <si>
    <t>Kalsiumnitrat</t>
  </si>
  <si>
    <t>Kalsiumkarbonat, CaCO3</t>
  </si>
  <si>
    <t>Trippelsuperfosfat (kalciumdivätefosfat)</t>
  </si>
  <si>
    <t>Algkalk</t>
  </si>
  <si>
    <t>Magnesiumsulfat</t>
  </si>
  <si>
    <t xml:space="preserve">Kalk </t>
  </si>
  <si>
    <t>Monoammoniumfosfat, som P2O5</t>
  </si>
  <si>
    <r>
      <t xml:space="preserve">Monoammoniumfosfat, som gödsel </t>
    </r>
    <r>
      <rPr>
        <b/>
        <sz val="11"/>
        <rFont val="Arial"/>
        <family val="2"/>
      </rPr>
      <t>eller</t>
    </r>
  </si>
  <si>
    <r>
      <t xml:space="preserve">Monoammoniumfosfat, som kväve </t>
    </r>
    <r>
      <rPr>
        <b/>
        <sz val="11"/>
        <color indexed="8"/>
        <rFont val="Arial"/>
        <family val="2"/>
      </rPr>
      <t>eller</t>
    </r>
  </si>
  <si>
    <t>NK-råvara</t>
  </si>
  <si>
    <t>Svavelsyra (H2SO4)</t>
  </si>
  <si>
    <t>Salpeter</t>
  </si>
  <si>
    <t>Suomensalpietari (Finlandssalpeter)</t>
  </si>
  <si>
    <t>Superfosfat (blandning av kalciumdivätefosfat och kalsiumsulfat)</t>
  </si>
  <si>
    <t>Superfosfat, som gödsel</t>
  </si>
  <si>
    <t>Superfosfat, som P2O5.nä</t>
  </si>
  <si>
    <t>Talk (Mg3Si4O10(OH)2)</t>
  </si>
  <si>
    <t>Salpetersyra (HNO3)</t>
  </si>
  <si>
    <t>7. Växtunderlag</t>
  </si>
  <si>
    <t>Välj från listan den produkt, som du använder och ange användningsmängd.</t>
  </si>
  <si>
    <t xml:space="preserve">Använd allmänna värden om produkten du använder  inte finns på listan. </t>
  </si>
  <si>
    <t>Växtunderlag</t>
  </si>
  <si>
    <t>Pimpsten</t>
  </si>
  <si>
    <t>Stenull, lätt</t>
  </si>
  <si>
    <t>Stenull, tung</t>
  </si>
  <si>
    <t>Stenull</t>
  </si>
  <si>
    <t>Kokosfiber</t>
  </si>
  <si>
    <t>Perlit</t>
  </si>
  <si>
    <t>Vermikulit</t>
  </si>
  <si>
    <t>Tillverkare</t>
  </si>
  <si>
    <t>Allmän</t>
  </si>
  <si>
    <t>Produkt</t>
  </si>
  <si>
    <t>Grotop Master</t>
  </si>
  <si>
    <t>Användningsmängd (kg)</t>
  </si>
  <si>
    <t>Data om förpackningsmängderna kan anges som färdigt specifierade produkter i antal, om de använda föpackningarna finns i listan av färdigförpackningar</t>
  </si>
  <si>
    <t>I annat fall anges förpackningarna i vikt av förpackningsmaterial.</t>
  </si>
  <si>
    <t>8. Förpackningar</t>
  </si>
  <si>
    <t xml:space="preserve">Ange i räknaren mängd av under uppföljningsperioden använda förpackningar i antal eller vikt. </t>
  </si>
  <si>
    <t>Färdigförpackningar</t>
  </si>
  <si>
    <t>Folie, gurka (vikt 2,3 g)</t>
  </si>
  <si>
    <t>Blomkruka (vikt 10 g)</t>
  </si>
  <si>
    <t>Kartong, för 5 kg tomater (vikt 180 g)</t>
  </si>
  <si>
    <t>Kartong, för 10 kg gurkor (vikt 370 g)</t>
  </si>
  <si>
    <t>Sallatspåse (vikt 5 g)</t>
  </si>
  <si>
    <t>Sallatskruka (vikt 1,6 g)</t>
  </si>
  <si>
    <t>Förpackningsmaterial</t>
  </si>
  <si>
    <t>Blomkruka</t>
  </si>
  <si>
    <t>Folie, gurka</t>
  </si>
  <si>
    <t>Plastpåse, sallat</t>
  </si>
  <si>
    <t>Kartong, genomsnittlig</t>
  </si>
  <si>
    <t>Sallatskruka</t>
  </si>
  <si>
    <t>Wellpap, jungfrulig</t>
  </si>
  <si>
    <t>Wellpap, returfiber</t>
  </si>
  <si>
    <t>Polyeten</t>
  </si>
  <si>
    <t>Polypropen</t>
  </si>
  <si>
    <t>st.</t>
  </si>
  <si>
    <t>Mängd</t>
  </si>
  <si>
    <t>9. Transport</t>
  </si>
  <si>
    <t xml:space="preserve">I transport tas hänsyn åtminstone transport av gödselmedel, odlingssubstrat samt förpackningar från tillverkaren eller importören till växthusföretag. </t>
  </si>
  <si>
    <t>Distributionstransport beaktas i princip inte, men kan innefattas, om så önskas.</t>
  </si>
  <si>
    <t>Ange gödselmedlens, växtunderlagens och förpackningarnas transportsträcka, samt vikten av transporterade varor.</t>
  </si>
  <si>
    <t>Andra transporter och överföringar (t.ex. bank- och butiksbesök), som är direkt relaterade till växthusföreget, anges i övrig transport .</t>
  </si>
  <si>
    <t xml:space="preserve">Övrig transport kan anges antingen som kilometer per fordon eller som bränsleförbrukning  </t>
  </si>
  <si>
    <t>(alternativen är sida vid sida under rubriken "Övrig transport". Bränsleförbrukning av traktor / lyfttraktor eller andra maskiner anges också här.)</t>
  </si>
  <si>
    <t xml:space="preserve">Om du vill ha distribution med i beräkningen, gör det i "Distribution."  I resultaten redovisas distribution som en separat del. </t>
  </si>
  <si>
    <t>Transport av gödselmedel</t>
  </si>
  <si>
    <t>Tillverkare 1</t>
  </si>
  <si>
    <t>Tillverkare 2</t>
  </si>
  <si>
    <t>Tillverkare 3</t>
  </si>
  <si>
    <t>Transport av växtunderlag</t>
  </si>
  <si>
    <t>Transport av förpackningar</t>
  </si>
  <si>
    <t>Avstånd från tillverkare till användningsplatsen (km)</t>
  </si>
  <si>
    <t>Växtunderlag, Totalvikt (kg)</t>
  </si>
  <si>
    <t>Övrig transport</t>
  </si>
  <si>
    <t>Typ av transport</t>
  </si>
  <si>
    <t>Personbil, bensin</t>
  </si>
  <si>
    <t>Personbil, diesel</t>
  </si>
  <si>
    <t>Paketbil, diesel, tom</t>
  </si>
  <si>
    <t>Paketbil, diesel, fullastad</t>
  </si>
  <si>
    <t>Distributionslastbil, liten (6 t), tom</t>
  </si>
  <si>
    <t>Distributionslastbil, liten (6 t), fullastad</t>
  </si>
  <si>
    <t>Distributionslastbil, stor (15 t), tom</t>
  </si>
  <si>
    <t>Distributionslastbil, stor (15 t), fullastad</t>
  </si>
  <si>
    <t>Påhängsvagn (40 t), tom</t>
  </si>
  <si>
    <t>Påhängsvagn (40t), fullastad</t>
  </si>
  <si>
    <t>Släpvagn (60 t), tom</t>
  </si>
  <si>
    <t>Släpvagn (60 t), fullastad</t>
  </si>
  <si>
    <t>Avstånd (km)</t>
  </si>
  <si>
    <t>Bensin (liter)</t>
  </si>
  <si>
    <t>Diesel (liter)</t>
  </si>
  <si>
    <t>Bränsleförbrukning (liter)</t>
  </si>
  <si>
    <t>Distribution</t>
  </si>
  <si>
    <t>10. Avfall</t>
  </si>
  <si>
    <t xml:space="preserve">Ange avfallsmängden under uppföljningsperioden. </t>
  </si>
  <si>
    <t xml:space="preserve">Övrigt avfall anges som vikt av avfall </t>
  </si>
  <si>
    <t>Växtavfall, gurkproduktion, belyst</t>
  </si>
  <si>
    <t>Växtavfall, gurkproduktion, ej belyst</t>
  </si>
  <si>
    <t>Växtavfall, sallat</t>
  </si>
  <si>
    <t>Växtavfall, tomatproduktion, belyst</t>
  </si>
  <si>
    <t>Växtavfall, tomatproduktion, ej belyst</t>
  </si>
  <si>
    <t>Kompostavfall, torv</t>
  </si>
  <si>
    <t>Kompostavfall, övrig</t>
  </si>
  <si>
    <t>Blandat avfall, papper</t>
  </si>
  <si>
    <t>Blandat avfall, plast</t>
  </si>
  <si>
    <t>Blandat avfall, mat</t>
  </si>
  <si>
    <t>1000 kg gurka</t>
  </si>
  <si>
    <t>1000 kg sallat</t>
  </si>
  <si>
    <t>1000 kg tomat</t>
  </si>
  <si>
    <t>20,2 % och för tomaten 18,1 % och sen också mängder av producter som hamnar till avfall .</t>
  </si>
  <si>
    <t xml:space="preserve">Växtavfall inmatas till räknaren per producerad grönsaksmängd, som är för gurkan </t>
  </si>
  <si>
    <t>11. Konverter</t>
  </si>
  <si>
    <t>Ange dina utgångsdata i turkos feedcell, räknaren konverterar till önskade enheter i angränsande cellen.</t>
  </si>
  <si>
    <t>1. Alternativa massa- och volymenheter.</t>
  </si>
  <si>
    <t>Lätt brännolja</t>
  </si>
  <si>
    <t>Tung brännolja</t>
  </si>
  <si>
    <t>Koldioksid</t>
  </si>
  <si>
    <t>2. Alternativa energienheter</t>
  </si>
  <si>
    <t>2. Energimängd som massa- / volymenhet</t>
  </si>
  <si>
    <t>Bränslets energiinnehåll syftar till den totala mängden energi som finns i bränslet och tar inte hänsyn till energiförlusten i produktionen.</t>
  </si>
  <si>
    <t>Producerad elenergi syftar till elenergin som fås ut av produktionsprocessen, och det tas hänsyn till förlusten vid produktionen (genomsnittlig effektivitet för olika bränslen i Finland)</t>
  </si>
  <si>
    <t xml:space="preserve">Obs.! Var uppmärksam med att välja rätt form av energi (el/värme) när du känner till producerad energimängd, effektiviteterna är olika i el- och värmeproduktion! </t>
  </si>
  <si>
    <t>Tung brännolja, separat produkton</t>
  </si>
  <si>
    <t>Bränslets energiinnehåll (MJ)</t>
  </si>
  <si>
    <t>Bränsleförbrukning/enhet</t>
  </si>
  <si>
    <r>
      <t xml:space="preserve">Producerad </t>
    </r>
    <r>
      <rPr>
        <b/>
        <sz val="11"/>
        <color indexed="8"/>
        <rFont val="Arial"/>
        <family val="2"/>
      </rPr>
      <t>elenergi</t>
    </r>
    <r>
      <rPr>
        <sz val="11"/>
        <color indexed="8"/>
        <rFont val="Arial"/>
        <family val="2"/>
      </rPr>
      <t xml:space="preserve"> (MJ)</t>
    </r>
  </si>
  <si>
    <r>
      <t xml:space="preserve">Producerad </t>
    </r>
    <r>
      <rPr>
        <b/>
        <sz val="11"/>
        <color indexed="8"/>
        <rFont val="Arial"/>
        <family val="2"/>
      </rPr>
      <t xml:space="preserve">värmeenergi </t>
    </r>
    <r>
      <rPr>
        <sz val="11"/>
        <color indexed="8"/>
        <rFont val="Arial"/>
        <family val="2"/>
      </rPr>
      <t>(MJ)</t>
    </r>
  </si>
  <si>
    <t>El</t>
  </si>
  <si>
    <t>Värme</t>
  </si>
  <si>
    <t>Plantor</t>
  </si>
  <si>
    <t>Gödselmedel</t>
  </si>
  <si>
    <t>Förpackningar</t>
  </si>
  <si>
    <t>Transport</t>
  </si>
  <si>
    <t>Avfall</t>
  </si>
  <si>
    <t>(utan distribution)</t>
  </si>
  <si>
    <t>(med distribution)</t>
  </si>
  <si>
    <t>CO2-ekvivalent (kg) sammanlagt</t>
  </si>
  <si>
    <t>CO2-ekvivalent (kg)/beräkningsenhet</t>
  </si>
  <si>
    <t xml:space="preserve">Om du vill jämföra dina resultat med tidigare beräkningar av växthusproduktionens klimatpåverkan, finns det en relaterad rapport i www.kauppapuutarhaliitto.fi -&gt; hiilijalanjälki (koldioksidutsläpp)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</si>
</sst>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E+00"/>
    <numFmt numFmtId="175" formatCode="0.0000"/>
    <numFmt numFmtId="176" formatCode="0.000000"/>
    <numFmt numFmtId="177" formatCode="0.0000000"/>
    <numFmt numFmtId="178" formatCode="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173" fontId="5" fillId="23" borderId="3" applyAlignment="0"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2" applyNumberFormat="0" applyAlignment="0" applyProtection="0"/>
    <xf numFmtId="0" fontId="42" fillId="32" borderId="4" applyNumberFormat="0" applyAlignment="0" applyProtection="0"/>
    <xf numFmtId="0" fontId="43" fillId="0" borderId="5" applyNumberFormat="0" applyFill="0" applyAlignment="0" applyProtection="0"/>
    <xf numFmtId="0" fontId="44" fillId="33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1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4" fontId="2" fillId="0" borderId="0" xfId="15" applyNumberFormat="1" applyFont="1" applyFill="1" applyBorder="1">
      <alignment/>
      <protection/>
    </xf>
    <xf numFmtId="17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9" fontId="8" fillId="0" borderId="11" xfId="5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9" fontId="2" fillId="0" borderId="11" xfId="50" applyFont="1" applyBorder="1" applyAlignment="1">
      <alignment horizontal="center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15" applyFont="1" applyFill="1" applyBorder="1" applyAlignment="1">
      <alignment wrapText="1"/>
      <protection/>
    </xf>
    <xf numFmtId="0" fontId="2" fillId="0" borderId="11" xfId="0" applyFont="1" applyFill="1" applyBorder="1" applyAlignment="1">
      <alignment/>
    </xf>
    <xf numFmtId="49" fontId="8" fillId="0" borderId="11" xfId="15" applyNumberFormat="1" applyFont="1" applyFill="1" applyBorder="1">
      <alignment/>
      <protection/>
    </xf>
    <xf numFmtId="174" fontId="2" fillId="0" borderId="11" xfId="15" applyNumberFormat="1" applyFont="1" applyFill="1" applyBorder="1">
      <alignment/>
      <protection/>
    </xf>
    <xf numFmtId="11" fontId="2" fillId="0" borderId="11" xfId="15" applyNumberFormat="1" applyFont="1" applyFill="1" applyBorder="1">
      <alignment/>
      <protection/>
    </xf>
    <xf numFmtId="1" fontId="8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49" fontId="8" fillId="0" borderId="11" xfId="0" applyNumberFormat="1" applyFont="1" applyFill="1" applyBorder="1" applyAlignment="1" quotePrefix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1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5" borderId="0" xfId="0" applyFont="1" applyFill="1" applyAlignment="1">
      <alignment/>
    </xf>
    <xf numFmtId="11" fontId="8" fillId="0" borderId="11" xfId="15" applyNumberFormat="1" applyFont="1" applyFill="1" applyBorder="1" applyAlignment="1">
      <alignment horizontal="left"/>
      <protection/>
    </xf>
    <xf numFmtId="172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11" fontId="2" fillId="36" borderId="11" xfId="0" applyNumberFormat="1" applyFont="1" applyFill="1" applyBorder="1" applyAlignment="1">
      <alignment/>
    </xf>
    <xf numFmtId="11" fontId="2" fillId="36" borderId="11" xfId="15" applyNumberFormat="1" applyFont="1" applyFill="1" applyBorder="1">
      <alignment/>
      <protection/>
    </xf>
    <xf numFmtId="0" fontId="2" fillId="36" borderId="11" xfId="15" applyFont="1" applyFill="1" applyBorder="1" applyAlignment="1">
      <alignment wrapText="1"/>
      <protection/>
    </xf>
    <xf numFmtId="11" fontId="2" fillId="34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wrapText="1"/>
    </xf>
    <xf numFmtId="0" fontId="12" fillId="35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2" fontId="2" fillId="34" borderId="11" xfId="15" applyNumberFormat="1" applyFont="1" applyFill="1" applyBorder="1" applyAlignment="1">
      <alignment wrapText="1"/>
      <protection/>
    </xf>
    <xf numFmtId="2" fontId="2" fillId="34" borderId="11" xfId="15" applyNumberFormat="1" applyFont="1" applyFill="1" applyBorder="1">
      <alignment/>
      <protection/>
    </xf>
    <xf numFmtId="2" fontId="8" fillId="34" borderId="11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8" fillId="34" borderId="11" xfId="15" applyNumberFormat="1" applyFont="1" applyFill="1" applyBorder="1">
      <alignment/>
      <protection/>
    </xf>
    <xf numFmtId="1" fontId="2" fillId="0" borderId="11" xfId="15" applyNumberFormat="1" applyFont="1" applyFill="1" applyBorder="1">
      <alignment/>
      <protection/>
    </xf>
    <xf numFmtId="0" fontId="8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0" borderId="11" xfId="57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2" fillId="34" borderId="11" xfId="57" applyNumberFormat="1" applyFont="1" applyFill="1" applyBorder="1" applyAlignment="1">
      <alignment horizontal="center" wrapText="1"/>
    </xf>
    <xf numFmtId="2" fontId="2" fillId="34" borderId="0" xfId="57" applyNumberFormat="1" applyFont="1" applyFill="1" applyBorder="1" applyAlignment="1">
      <alignment horizontal="center"/>
    </xf>
    <xf numFmtId="2" fontId="2" fillId="0" borderId="11" xfId="57" applyNumberFormat="1" applyFont="1" applyBorder="1" applyAlignment="1">
      <alignment/>
    </xf>
    <xf numFmtId="2" fontId="2" fillId="0" borderId="0" xfId="57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15" applyNumberFormat="1" applyFont="1" applyFill="1" applyBorder="1">
      <alignment/>
      <protection/>
    </xf>
    <xf numFmtId="0" fontId="11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2" fillId="0" borderId="11" xfId="0" applyFont="1" applyBorder="1" applyAlignment="1">
      <alignment horizontal="right" wrapText="1"/>
    </xf>
    <xf numFmtId="0" fontId="13" fillId="34" borderId="0" xfId="0" applyFont="1" applyFill="1" applyAlignment="1">
      <alignment/>
    </xf>
    <xf numFmtId="0" fontId="2" fillId="34" borderId="11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74" fontId="8" fillId="0" borderId="11" xfId="15" applyNumberFormat="1" applyFont="1" applyFill="1" applyBorder="1">
      <alignment/>
      <protection/>
    </xf>
    <xf numFmtId="172" fontId="8" fillId="0" borderId="11" xfId="0" applyNumberFormat="1" applyFont="1" applyFill="1" applyBorder="1" applyAlignment="1">
      <alignment horizontal="right"/>
    </xf>
    <xf numFmtId="176" fontId="2" fillId="34" borderId="11" xfId="15" applyNumberFormat="1" applyFont="1" applyFill="1" applyBorder="1" applyAlignment="1">
      <alignment wrapText="1"/>
      <protection/>
    </xf>
    <xf numFmtId="176" fontId="8" fillId="34" borderId="11" xfId="0" applyNumberFormat="1" applyFont="1" applyFill="1" applyBorder="1" applyAlignment="1">
      <alignment/>
    </xf>
    <xf numFmtId="176" fontId="2" fillId="3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1" fontId="8" fillId="0" borderId="11" xfId="15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2" fillId="34" borderId="14" xfId="0" applyFont="1" applyFill="1" applyBorder="1" applyAlignment="1">
      <alignment wrapText="1"/>
    </xf>
    <xf numFmtId="178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2" xfId="0" applyNumberFormat="1" applyFont="1" applyBorder="1" applyAlignment="1">
      <alignment wrapText="1"/>
    </xf>
    <xf numFmtId="0" fontId="2" fillId="0" borderId="22" xfId="0" applyFont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/>
    </xf>
    <xf numFmtId="178" fontId="2" fillId="0" borderId="2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37" borderId="11" xfId="0" applyFont="1" applyFill="1" applyBorder="1" applyAlignment="1" applyProtection="1">
      <alignment horizontal="center" wrapText="1"/>
      <protection locked="0"/>
    </xf>
    <xf numFmtId="0" fontId="2" fillId="37" borderId="11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 horizontal="center"/>
      <protection locked="0"/>
    </xf>
    <xf numFmtId="0" fontId="2" fillId="38" borderId="11" xfId="0" applyFont="1" applyFill="1" applyBorder="1" applyAlignment="1" applyProtection="1">
      <alignment/>
      <protection hidden="1"/>
    </xf>
    <xf numFmtId="9" fontId="2" fillId="37" borderId="11" xfId="50" applyFont="1" applyFill="1" applyBorder="1" applyAlignment="1" applyProtection="1">
      <alignment/>
      <protection locked="0"/>
    </xf>
    <xf numFmtId="0" fontId="8" fillId="38" borderId="11" xfId="0" applyFont="1" applyFill="1" applyBorder="1" applyAlignment="1" applyProtection="1">
      <alignment/>
      <protection hidden="1"/>
    </xf>
    <xf numFmtId="0" fontId="8" fillId="37" borderId="11" xfId="0" applyFont="1" applyFill="1" applyBorder="1" applyAlignment="1" applyProtection="1">
      <alignment/>
      <protection locked="0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8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2" fontId="2" fillId="37" borderId="11" xfId="57" applyNumberFormat="1" applyFont="1" applyFill="1" applyBorder="1" applyAlignment="1" applyProtection="1">
      <alignment horizontal="center"/>
      <protection locked="0"/>
    </xf>
    <xf numFmtId="2" fontId="2" fillId="38" borderId="11" xfId="57" applyNumberFormat="1" applyFont="1" applyFill="1" applyBorder="1" applyAlignment="1" applyProtection="1">
      <alignment/>
      <protection hidden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/>
      <protection hidden="1"/>
    </xf>
    <xf numFmtId="43" fontId="2" fillId="37" borderId="11" xfId="57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173" fontId="2" fillId="34" borderId="11" xfId="0" applyNumberFormat="1" applyFont="1" applyFill="1" applyBorder="1" applyAlignment="1" applyProtection="1">
      <alignment horizontal="center" wrapText="1"/>
      <protection hidden="1"/>
    </xf>
    <xf numFmtId="173" fontId="2" fillId="0" borderId="11" xfId="0" applyNumberFormat="1" applyFont="1" applyBorder="1" applyAlignment="1" applyProtection="1">
      <alignment horizontal="center" wrapText="1"/>
      <protection hidden="1"/>
    </xf>
    <xf numFmtId="173" fontId="3" fillId="0" borderId="11" xfId="0" applyNumberFormat="1" applyFont="1" applyBorder="1" applyAlignment="1" applyProtection="1">
      <alignment horizontal="center" wrapText="1"/>
      <protection hidden="1"/>
    </xf>
    <xf numFmtId="173" fontId="2" fillId="0" borderId="0" xfId="0" applyNumberFormat="1" applyFont="1" applyAlignment="1" applyProtection="1">
      <alignment wrapText="1"/>
      <protection hidden="1"/>
    </xf>
    <xf numFmtId="9" fontId="2" fillId="37" borderId="11" xfId="50" applyFont="1" applyFill="1" applyBorder="1" applyAlignment="1">
      <alignment horizontal="center" wrapText="1"/>
    </xf>
    <xf numFmtId="11" fontId="2" fillId="34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5" borderId="0" xfId="0" applyFont="1" applyFill="1" applyAlignment="1">
      <alignment/>
    </xf>
    <xf numFmtId="0" fontId="2" fillId="0" borderId="23" xfId="0" applyFont="1" applyBorder="1" applyAlignment="1">
      <alignment wrapText="1"/>
    </xf>
    <xf numFmtId="0" fontId="2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8" fillId="34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2" fontId="2" fillId="0" borderId="11" xfId="57" applyNumberFormat="1" applyFont="1" applyBorder="1" applyAlignment="1">
      <alignment horizontal="center" wrapText="1"/>
    </xf>
    <xf numFmtId="0" fontId="2" fillId="34" borderId="11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</cellXfs>
  <cellStyles count="49">
    <cellStyle name="Normal" xfId="0"/>
    <cellStyle name="=C:\WINNT35\SYSTEM32\COMMAND.COM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ata_Green_dec1" xfId="37"/>
    <cellStyle name="Dekorfärg1" xfId="38"/>
    <cellStyle name="Dekorfärg2" xfId="39"/>
    <cellStyle name="Dekorfärg3" xfId="40"/>
    <cellStyle name="Dekorfärg4" xfId="41"/>
    <cellStyle name="Dekorfärg5" xfId="42"/>
    <cellStyle name="Dekorfärg6" xfId="43"/>
    <cellStyle name="Dåligt" xfId="44"/>
    <cellStyle name="Förklarande text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CO2-ekvivalent(kg)/beräkningsenhet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725"/>
          <c:w val="0.969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Resultat'!$C$3</c:f>
              <c:strCache>
                <c:ptCount val="1"/>
                <c:pt idx="0">
                  <c:v>CO2-ekvivalent (kg)/beräkningsenhet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 Resultat'!$A$4:$A$12</c:f>
              <c:strCache/>
            </c:strRef>
          </c:cat>
          <c:val>
            <c:numRef>
              <c:f>'12. Resultat'!$C$4:$C$12</c:f>
              <c:numCache/>
            </c:numRef>
          </c:val>
        </c:ser>
        <c:overlap val="100"/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104775</xdr:rowOff>
    </xdr:from>
    <xdr:to>
      <xdr:col>11</xdr:col>
      <xdr:colOff>323850</xdr:colOff>
      <xdr:row>13</xdr:row>
      <xdr:rowOff>133350</xdr:rowOff>
    </xdr:to>
    <xdr:graphicFrame>
      <xdr:nvGraphicFramePr>
        <xdr:cNvPr id="1" name="Kaavio 1"/>
        <xdr:cNvGraphicFramePr/>
      </xdr:nvGraphicFramePr>
      <xdr:xfrm>
        <a:off x="4772025" y="295275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C13"/>
  <sheetViews>
    <sheetView showGridLines="0" tabSelected="1" zoomScalePageLayoutView="0" workbookViewId="0" topLeftCell="A1">
      <selection activeCell="D42" sqref="D42"/>
    </sheetView>
  </sheetViews>
  <sheetFormatPr defaultColWidth="9.140625" defaultRowHeight="15"/>
  <cols>
    <col min="1" max="1" width="15.7109375" style="5" customWidth="1"/>
    <col min="2" max="2" width="8.7109375" style="5" customWidth="1"/>
    <col min="3" max="3" width="14.7109375" style="5" customWidth="1"/>
    <col min="4" max="4" width="8.7109375" style="5" customWidth="1"/>
    <col min="5" max="5" width="14.7109375" style="5" customWidth="1"/>
    <col min="6" max="6" width="15.7109375" style="5" customWidth="1"/>
    <col min="7" max="16384" width="9.140625" style="5" customWidth="1"/>
  </cols>
  <sheetData>
    <row r="1" ht="20.25">
      <c r="A1" s="189" t="s">
        <v>395</v>
      </c>
    </row>
    <row r="2" ht="14.25">
      <c r="A2" s="107" t="s">
        <v>396</v>
      </c>
    </row>
    <row r="3" ht="14.25">
      <c r="A3" s="107" t="s">
        <v>397</v>
      </c>
    </row>
    <row r="4" ht="14.25">
      <c r="A4" s="107" t="s">
        <v>398</v>
      </c>
    </row>
    <row r="5" ht="14.25">
      <c r="A5" s="107" t="s">
        <v>399</v>
      </c>
    </row>
    <row r="6" ht="14.25">
      <c r="A6" s="107" t="s">
        <v>400</v>
      </c>
    </row>
    <row r="7" spans="1:2" ht="14.25">
      <c r="A7" s="85"/>
      <c r="B7" s="190" t="s">
        <v>401</v>
      </c>
    </row>
    <row r="8" spans="1:3" ht="14.25">
      <c r="A8" s="190" t="s">
        <v>402</v>
      </c>
      <c r="B8" s="6"/>
      <c r="C8" s="6"/>
    </row>
    <row r="9" spans="1:3" ht="14.25">
      <c r="A9" s="190" t="s">
        <v>403</v>
      </c>
      <c r="B9" s="6"/>
      <c r="C9" s="6"/>
    </row>
    <row r="10" spans="1:3" ht="14.25">
      <c r="A10" s="190" t="s">
        <v>404</v>
      </c>
      <c r="B10" s="6"/>
      <c r="C10" s="6"/>
    </row>
    <row r="11" spans="1:2" ht="14.25">
      <c r="A11" s="86"/>
      <c r="B11" s="190" t="s">
        <v>405</v>
      </c>
    </row>
    <row r="12" spans="1:3" ht="14.25">
      <c r="A12" s="190" t="s">
        <v>406</v>
      </c>
      <c r="B12" s="6"/>
      <c r="C12" s="6"/>
    </row>
    <row r="13" spans="1:3" ht="14.25">
      <c r="A13" s="190" t="s">
        <v>407</v>
      </c>
      <c r="B13" s="6"/>
      <c r="C13" s="6"/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L65"/>
  <sheetViews>
    <sheetView showGridLines="0" zoomScalePageLayoutView="0" workbookViewId="0" topLeftCell="A38">
      <selection activeCell="A51" sqref="A51"/>
    </sheetView>
  </sheetViews>
  <sheetFormatPr defaultColWidth="9.140625" defaultRowHeight="15"/>
  <cols>
    <col min="1" max="1" width="36.7109375" style="1" customWidth="1"/>
    <col min="2" max="2" width="11.7109375" style="1" bestFit="1" customWidth="1"/>
    <col min="3" max="4" width="9.140625" style="1" customWidth="1"/>
    <col min="5" max="5" width="20.7109375" style="1" customWidth="1"/>
    <col min="6" max="6" width="17.7109375" style="1" customWidth="1"/>
    <col min="7" max="16384" width="9.140625" style="1" customWidth="1"/>
  </cols>
  <sheetData>
    <row r="1" spans="1:2" ht="15">
      <c r="A1" s="195" t="s">
        <v>582</v>
      </c>
      <c r="B1" s="60"/>
    </row>
    <row r="2" spans="1:12" ht="14.25">
      <c r="A2" s="196" t="s">
        <v>583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>
      <c r="A3" s="196" t="s">
        <v>584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4.25">
      <c r="A4" s="196" t="s">
        <v>585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4.25">
      <c r="A5" s="196" t="s">
        <v>586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4.25">
      <c r="A6" s="196" t="s">
        <v>587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4.25">
      <c r="A7" s="196" t="s">
        <v>588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4.25">
      <c r="A8" s="196" t="s">
        <v>589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4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ht="15">
      <c r="A10" s="195" t="s">
        <v>590</v>
      </c>
    </row>
    <row r="11" spans="1:3" ht="71.25">
      <c r="A11" s="39"/>
      <c r="B11" s="37" t="s">
        <v>322</v>
      </c>
      <c r="C11" s="37" t="s">
        <v>321</v>
      </c>
    </row>
    <row r="12" spans="1:3" ht="14.25">
      <c r="A12" s="80" t="s">
        <v>591</v>
      </c>
      <c r="B12" s="161"/>
      <c r="C12" s="181"/>
    </row>
    <row r="13" spans="1:3" ht="14.25">
      <c r="A13" s="80" t="s">
        <v>592</v>
      </c>
      <c r="B13" s="161"/>
      <c r="C13" s="181"/>
    </row>
    <row r="14" spans="1:3" ht="14.25">
      <c r="A14" s="80" t="s">
        <v>593</v>
      </c>
      <c r="B14" s="161"/>
      <c r="C14" s="181"/>
    </row>
    <row r="16" ht="15">
      <c r="A16" s="195" t="s">
        <v>594</v>
      </c>
    </row>
    <row r="17" spans="1:3" ht="71.25">
      <c r="A17" s="39"/>
      <c r="B17" s="37" t="s">
        <v>322</v>
      </c>
      <c r="C17" s="37" t="s">
        <v>325</v>
      </c>
    </row>
    <row r="18" spans="1:3" ht="14.25">
      <c r="A18" s="213" t="s">
        <v>547</v>
      </c>
      <c r="B18" s="172"/>
      <c r="C18" s="172"/>
    </row>
    <row r="19" spans="1:3" ht="14.25">
      <c r="A19" s="71" t="s">
        <v>548</v>
      </c>
      <c r="B19" s="172"/>
      <c r="C19" s="172"/>
    </row>
    <row r="20" spans="1:3" ht="14.25">
      <c r="A20" s="70" t="s">
        <v>549</v>
      </c>
      <c r="B20" s="172"/>
      <c r="C20" s="172"/>
    </row>
    <row r="21" spans="1:3" ht="14.25">
      <c r="A21" s="70" t="s">
        <v>551</v>
      </c>
      <c r="B21" s="172"/>
      <c r="C21" s="172"/>
    </row>
    <row r="22" spans="1:3" ht="14.25">
      <c r="A22" s="214" t="s">
        <v>552</v>
      </c>
      <c r="B22" s="172"/>
      <c r="C22" s="172"/>
    </row>
    <row r="23" spans="1:3" ht="14.25">
      <c r="A23" s="214" t="s">
        <v>428</v>
      </c>
      <c r="B23" s="172"/>
      <c r="C23" s="172"/>
    </row>
    <row r="24" spans="1:3" ht="14.25">
      <c r="A24" s="214" t="s">
        <v>553</v>
      </c>
      <c r="B24" s="172"/>
      <c r="C24" s="172"/>
    </row>
    <row r="25" spans="1:3" ht="14.25">
      <c r="A25" s="106"/>
      <c r="B25" s="103"/>
      <c r="C25" s="103"/>
    </row>
    <row r="26" ht="15">
      <c r="A26" s="195" t="s">
        <v>595</v>
      </c>
    </row>
    <row r="27" spans="1:3" ht="99.75">
      <c r="A27" s="39"/>
      <c r="B27" s="205" t="s">
        <v>596</v>
      </c>
      <c r="C27" s="205" t="s">
        <v>597</v>
      </c>
    </row>
    <row r="28" spans="1:3" ht="14.25">
      <c r="A28" s="80" t="s">
        <v>591</v>
      </c>
      <c r="B28" s="172"/>
      <c r="C28" s="172"/>
    </row>
    <row r="29" spans="1:3" ht="14.25">
      <c r="A29" s="80" t="s">
        <v>592</v>
      </c>
      <c r="B29" s="172"/>
      <c r="C29" s="172"/>
    </row>
    <row r="30" spans="1:4" ht="14.25">
      <c r="A30" s="17"/>
      <c r="B30" s="103"/>
      <c r="C30" s="103"/>
      <c r="D30" s="105"/>
    </row>
    <row r="31" spans="1:4" ht="15">
      <c r="A31" s="195" t="s">
        <v>598</v>
      </c>
      <c r="B31" s="101"/>
      <c r="C31" s="101"/>
      <c r="D31" s="101"/>
    </row>
    <row r="32" spans="1:6" ht="28.5">
      <c r="A32" s="213" t="s">
        <v>599</v>
      </c>
      <c r="B32" s="215" t="s">
        <v>612</v>
      </c>
      <c r="E32" s="213" t="s">
        <v>460</v>
      </c>
      <c r="F32" s="215" t="s">
        <v>615</v>
      </c>
    </row>
    <row r="33" spans="1:6" ht="14.25">
      <c r="A33" s="80" t="s">
        <v>600</v>
      </c>
      <c r="B33" s="172"/>
      <c r="E33" s="51" t="s">
        <v>613</v>
      </c>
      <c r="F33" s="172"/>
    </row>
    <row r="34" spans="1:6" ht="14.25">
      <c r="A34" s="80" t="s">
        <v>601</v>
      </c>
      <c r="B34" s="172"/>
      <c r="E34" s="51" t="s">
        <v>614</v>
      </c>
      <c r="F34" s="172"/>
    </row>
    <row r="35" spans="1:2" ht="14.25">
      <c r="A35" s="80" t="s">
        <v>602</v>
      </c>
      <c r="B35" s="172"/>
    </row>
    <row r="36" spans="1:2" ht="14.25">
      <c r="A36" s="80" t="s">
        <v>603</v>
      </c>
      <c r="B36" s="172"/>
    </row>
    <row r="37" spans="1:2" ht="14.25">
      <c r="A37" s="80" t="s">
        <v>604</v>
      </c>
      <c r="B37" s="172"/>
    </row>
    <row r="38" spans="1:2" ht="14.25">
      <c r="A38" s="80" t="s">
        <v>605</v>
      </c>
      <c r="B38" s="172"/>
    </row>
    <row r="39" spans="1:2" ht="14.25">
      <c r="A39" s="80" t="s">
        <v>606</v>
      </c>
      <c r="B39" s="172"/>
    </row>
    <row r="40" spans="1:2" ht="14.25">
      <c r="A40" s="80" t="s">
        <v>607</v>
      </c>
      <c r="B40" s="172"/>
    </row>
    <row r="41" spans="1:4" ht="14.25">
      <c r="A41" s="80" t="s">
        <v>608</v>
      </c>
      <c r="B41" s="172"/>
      <c r="D41" s="99"/>
    </row>
    <row r="42" spans="1:2" ht="14.25">
      <c r="A42" s="80" t="s">
        <v>609</v>
      </c>
      <c r="B42" s="172"/>
    </row>
    <row r="43" spans="1:2" ht="14.25">
      <c r="A43" s="80" t="s">
        <v>610</v>
      </c>
      <c r="B43" s="172"/>
    </row>
    <row r="44" spans="1:2" ht="14.25">
      <c r="A44" s="80" t="s">
        <v>611</v>
      </c>
      <c r="B44" s="172"/>
    </row>
    <row r="45" spans="1:4" ht="14.25">
      <c r="A45" s="98"/>
      <c r="B45" s="103"/>
      <c r="C45" s="103"/>
      <c r="D45" s="103"/>
    </row>
    <row r="46" spans="1:4" ht="14.25">
      <c r="A46" s="200" t="s">
        <v>467</v>
      </c>
      <c r="B46" s="101"/>
      <c r="C46" s="101"/>
      <c r="D46" s="101"/>
    </row>
    <row r="47" spans="1:4" ht="14.25">
      <c r="A47" s="3" t="s">
        <v>161</v>
      </c>
      <c r="B47" s="104" t="s">
        <v>3</v>
      </c>
      <c r="C47" s="173">
        <f>SUM(Hiilijalanjäljet!T5:T7)+SUM(Hiilijalanjäljet!T11:T17)+SUM(Hiilijalanjäljet!T21:T22)+SUM(Hiilijalanjäljet!T26:T37)+SUM(Hiilijalanjäljet!T40:T41)</f>
        <v>0</v>
      </c>
      <c r="D47" s="101"/>
    </row>
    <row r="49" spans="1:4" ht="15">
      <c r="A49" s="195" t="s">
        <v>616</v>
      </c>
      <c r="B49" s="101"/>
      <c r="C49" s="101"/>
      <c r="D49" s="101"/>
    </row>
    <row r="50" spans="1:6" ht="28.5">
      <c r="A50" s="213" t="s">
        <v>599</v>
      </c>
      <c r="B50" s="215" t="s">
        <v>612</v>
      </c>
      <c r="E50" s="213" t="s">
        <v>460</v>
      </c>
      <c r="F50" s="215" t="s">
        <v>615</v>
      </c>
    </row>
    <row r="51" spans="1:6" ht="14.25">
      <c r="A51" s="80" t="s">
        <v>600</v>
      </c>
      <c r="B51" s="172"/>
      <c r="E51" s="51" t="s">
        <v>613</v>
      </c>
      <c r="F51" s="172"/>
    </row>
    <row r="52" spans="1:6" ht="14.25">
      <c r="A52" s="80" t="s">
        <v>601</v>
      </c>
      <c r="B52" s="172"/>
      <c r="E52" s="51" t="s">
        <v>614</v>
      </c>
      <c r="F52" s="172"/>
    </row>
    <row r="53" spans="1:2" ht="14.25">
      <c r="A53" s="80" t="s">
        <v>602</v>
      </c>
      <c r="B53" s="172"/>
    </row>
    <row r="54" spans="1:2" ht="14.25">
      <c r="A54" s="80" t="s">
        <v>603</v>
      </c>
      <c r="B54" s="172"/>
    </row>
    <row r="55" spans="1:2" ht="14.25">
      <c r="A55" s="80" t="s">
        <v>604</v>
      </c>
      <c r="B55" s="172"/>
    </row>
    <row r="56" spans="1:2" ht="14.25">
      <c r="A56" s="80" t="s">
        <v>605</v>
      </c>
      <c r="B56" s="172"/>
    </row>
    <row r="57" spans="1:2" ht="14.25">
      <c r="A57" s="80" t="s">
        <v>606</v>
      </c>
      <c r="B57" s="172"/>
    </row>
    <row r="58" spans="1:2" ht="14.25">
      <c r="A58" s="80" t="s">
        <v>607</v>
      </c>
      <c r="B58" s="172"/>
    </row>
    <row r="59" spans="1:4" ht="14.25">
      <c r="A59" s="80" t="s">
        <v>608</v>
      </c>
      <c r="B59" s="172"/>
      <c r="D59" s="99"/>
    </row>
    <row r="60" spans="1:2" ht="14.25">
      <c r="A60" s="80" t="s">
        <v>609</v>
      </c>
      <c r="B60" s="172"/>
    </row>
    <row r="61" spans="1:2" ht="14.25">
      <c r="A61" s="80" t="s">
        <v>610</v>
      </c>
      <c r="B61" s="172"/>
    </row>
    <row r="62" spans="1:2" ht="14.25">
      <c r="A62" s="80" t="s">
        <v>611</v>
      </c>
      <c r="B62" s="172"/>
    </row>
    <row r="64" spans="1:3" ht="14.25">
      <c r="A64" s="200" t="s">
        <v>467</v>
      </c>
      <c r="B64" s="101"/>
      <c r="C64" s="101"/>
    </row>
    <row r="65" spans="1:3" ht="14.25">
      <c r="A65" s="3" t="s">
        <v>161</v>
      </c>
      <c r="B65" s="104" t="s">
        <v>3</v>
      </c>
      <c r="C65" s="173">
        <f>SUM(Hiilijalanjäljet!T45:T56)+SUM(Hiilijalanjäljet!T59:T60)</f>
        <v>0</v>
      </c>
    </row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E20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45.7109375" style="1" customWidth="1"/>
    <col min="2" max="2" width="20.7109375" style="1" customWidth="1"/>
    <col min="3" max="16384" width="9.140625" style="1" customWidth="1"/>
  </cols>
  <sheetData>
    <row r="1" spans="1:2" ht="15">
      <c r="A1" s="195" t="s">
        <v>617</v>
      </c>
      <c r="B1" s="35"/>
    </row>
    <row r="2" spans="1:3" ht="14.25">
      <c r="A2" s="196" t="s">
        <v>618</v>
      </c>
      <c r="B2" s="113"/>
      <c r="C2" s="34"/>
    </row>
    <row r="3" spans="1:3" ht="14.25">
      <c r="A3" s="196" t="s">
        <v>634</v>
      </c>
      <c r="B3" s="113"/>
      <c r="C3" s="34"/>
    </row>
    <row r="4" spans="1:4" ht="14.25">
      <c r="A4" s="69" t="s">
        <v>633</v>
      </c>
      <c r="B4" s="113"/>
      <c r="C4" s="34"/>
      <c r="D4" s="34"/>
    </row>
    <row r="5" spans="1:5" ht="14.25">
      <c r="A5" s="196" t="s">
        <v>619</v>
      </c>
      <c r="B5" s="34"/>
      <c r="C5" s="34"/>
      <c r="D5" s="34"/>
      <c r="E5" s="34"/>
    </row>
    <row r="6" spans="1:3" ht="15">
      <c r="A6" s="79"/>
      <c r="B6" s="80" t="s">
        <v>0</v>
      </c>
      <c r="C6" s="37" t="s">
        <v>581</v>
      </c>
    </row>
    <row r="7" spans="1:3" ht="14.25">
      <c r="A7" s="80" t="s">
        <v>620</v>
      </c>
      <c r="B7" s="80" t="s">
        <v>630</v>
      </c>
      <c r="C7" s="161"/>
    </row>
    <row r="8" spans="1:3" ht="14.25">
      <c r="A8" s="80" t="s">
        <v>621</v>
      </c>
      <c r="B8" s="80" t="s">
        <v>630</v>
      </c>
      <c r="C8" s="161"/>
    </row>
    <row r="9" spans="1:3" ht="14.25">
      <c r="A9" s="80" t="s">
        <v>622</v>
      </c>
      <c r="B9" s="80" t="s">
        <v>631</v>
      </c>
      <c r="C9" s="161"/>
    </row>
    <row r="10" spans="1:3" ht="14.25">
      <c r="A10" s="80" t="s">
        <v>623</v>
      </c>
      <c r="B10" s="80" t="s">
        <v>632</v>
      </c>
      <c r="C10" s="161"/>
    </row>
    <row r="11" spans="1:3" ht="14.25">
      <c r="A11" s="80" t="s">
        <v>624</v>
      </c>
      <c r="B11" s="80" t="s">
        <v>632</v>
      </c>
      <c r="C11" s="161"/>
    </row>
    <row r="12" spans="1:3" ht="14.25">
      <c r="A12" s="80" t="s">
        <v>625</v>
      </c>
      <c r="B12" s="80" t="s">
        <v>3</v>
      </c>
      <c r="C12" s="161"/>
    </row>
    <row r="13" spans="1:3" ht="14.25">
      <c r="A13" s="80" t="s">
        <v>626</v>
      </c>
      <c r="B13" s="80" t="s">
        <v>3</v>
      </c>
      <c r="C13" s="161"/>
    </row>
    <row r="14" spans="1:3" ht="14.25">
      <c r="A14" s="80" t="s">
        <v>627</v>
      </c>
      <c r="B14" s="80" t="s">
        <v>3</v>
      </c>
      <c r="C14" s="161"/>
    </row>
    <row r="15" spans="1:3" ht="14.25">
      <c r="A15" s="80" t="s">
        <v>628</v>
      </c>
      <c r="B15" s="80" t="s">
        <v>3</v>
      </c>
      <c r="C15" s="161"/>
    </row>
    <row r="16" spans="1:3" ht="14.25">
      <c r="A16" s="80" t="s">
        <v>629</v>
      </c>
      <c r="B16" s="80" t="s">
        <v>3</v>
      </c>
      <c r="C16" s="161"/>
    </row>
    <row r="17" spans="1:3" ht="14.25">
      <c r="A17" s="80" t="s">
        <v>629</v>
      </c>
      <c r="B17" s="80" t="s">
        <v>3</v>
      </c>
      <c r="C17" s="161"/>
    </row>
    <row r="19" ht="14.25">
      <c r="A19" s="1" t="s">
        <v>160</v>
      </c>
    </row>
    <row r="20" spans="1:3" ht="14.25">
      <c r="A20" s="3" t="s">
        <v>161</v>
      </c>
      <c r="B20" s="3" t="s">
        <v>3</v>
      </c>
      <c r="C20" s="162">
        <f>SUM(Hiilijalanjäljet!W4:W14)</f>
        <v>0</v>
      </c>
    </row>
  </sheetData>
  <sheetProtection password="E765" sheet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M43"/>
  <sheetViews>
    <sheetView showGridLines="0" zoomScalePageLayoutView="0" workbookViewId="0" topLeftCell="A20">
      <selection activeCell="B27" sqref="B27"/>
    </sheetView>
  </sheetViews>
  <sheetFormatPr defaultColWidth="9.140625" defaultRowHeight="15"/>
  <cols>
    <col min="1" max="1" width="30.7109375" style="1" customWidth="1"/>
    <col min="2" max="2" width="9.140625" style="1" customWidth="1"/>
    <col min="3" max="8" width="12.7109375" style="1" customWidth="1"/>
    <col min="9" max="16384" width="9.140625" style="1" customWidth="1"/>
  </cols>
  <sheetData>
    <row r="1" ht="15">
      <c r="A1" s="195" t="s">
        <v>635</v>
      </c>
    </row>
    <row r="2" spans="1:9" ht="14.25">
      <c r="A2" s="196" t="s">
        <v>636</v>
      </c>
      <c r="B2" s="34"/>
      <c r="C2" s="34"/>
      <c r="D2" s="34"/>
      <c r="E2" s="34"/>
      <c r="F2" s="34"/>
      <c r="G2" s="34"/>
      <c r="H2" s="34"/>
      <c r="I2" s="34"/>
    </row>
    <row r="4" ht="15">
      <c r="A4" s="195" t="s">
        <v>637</v>
      </c>
    </row>
    <row r="5" spans="1:5" ht="14.25">
      <c r="A5" s="120"/>
      <c r="B5" s="31" t="s">
        <v>4</v>
      </c>
      <c r="C5" s="31" t="s">
        <v>3</v>
      </c>
      <c r="D5" s="31" t="s">
        <v>346</v>
      </c>
      <c r="E5" s="31" t="s">
        <v>3</v>
      </c>
    </row>
    <row r="6" spans="1:5" ht="14.25">
      <c r="A6" s="216" t="s">
        <v>638</v>
      </c>
      <c r="B6" s="161"/>
      <c r="C6" s="177">
        <f>845*B6</f>
        <v>0</v>
      </c>
      <c r="D6" s="161"/>
      <c r="E6" s="177">
        <f>0.845*D6</f>
        <v>0</v>
      </c>
    </row>
    <row r="7" spans="1:5" ht="14.25">
      <c r="A7" s="216" t="s">
        <v>639</v>
      </c>
      <c r="B7" s="161"/>
      <c r="C7" s="177">
        <f>1000*B7</f>
        <v>0</v>
      </c>
      <c r="D7" s="161"/>
      <c r="E7" s="177">
        <f>D7</f>
        <v>0</v>
      </c>
    </row>
    <row r="8" spans="1:5" ht="14.25">
      <c r="A8" s="216" t="s">
        <v>428</v>
      </c>
      <c r="B8" s="161"/>
      <c r="C8" s="177">
        <f>500*B8</f>
        <v>0</v>
      </c>
      <c r="D8" s="161"/>
      <c r="E8" s="177">
        <f>0.5*D8</f>
        <v>0</v>
      </c>
    </row>
    <row r="9" spans="1:5" ht="14.25">
      <c r="A9" s="216" t="s">
        <v>430</v>
      </c>
      <c r="B9" s="161"/>
      <c r="C9" s="177">
        <f>300*B9</f>
        <v>0</v>
      </c>
      <c r="D9" s="161"/>
      <c r="E9" s="177">
        <f>0.3*D9</f>
        <v>0</v>
      </c>
    </row>
    <row r="10" spans="1:5" ht="14.25">
      <c r="A10" s="216" t="s">
        <v>640</v>
      </c>
      <c r="B10" s="161"/>
      <c r="C10" s="177">
        <f>1.97*B10</f>
        <v>0</v>
      </c>
      <c r="D10" s="161"/>
      <c r="E10" s="177">
        <f>0.00197*D10</f>
        <v>0</v>
      </c>
    </row>
    <row r="11" spans="1:5" ht="14.25">
      <c r="A11" s="204" t="s">
        <v>547</v>
      </c>
      <c r="B11" s="161"/>
      <c r="C11" s="178">
        <f>375*B11</f>
        <v>0</v>
      </c>
      <c r="D11" s="161"/>
      <c r="E11" s="178">
        <f>0.375*D11</f>
        <v>0</v>
      </c>
    </row>
    <row r="12" spans="1:5" ht="14.25">
      <c r="A12" s="125" t="s">
        <v>548</v>
      </c>
      <c r="B12" s="161"/>
      <c r="C12" s="178">
        <f>46.4*B12</f>
        <v>0</v>
      </c>
      <c r="D12" s="161"/>
      <c r="E12" s="178">
        <f>0.0464*D12</f>
        <v>0</v>
      </c>
    </row>
    <row r="13" spans="1:5" ht="14.25">
      <c r="A13" s="130" t="s">
        <v>549</v>
      </c>
      <c r="B13" s="161"/>
      <c r="C13" s="178">
        <f>56*B13</f>
        <v>0</v>
      </c>
      <c r="D13" s="161"/>
      <c r="E13" s="178">
        <f>0.056*D13</f>
        <v>0</v>
      </c>
    </row>
    <row r="14" spans="1:5" ht="14.25">
      <c r="A14" s="130" t="s">
        <v>551</v>
      </c>
      <c r="B14" s="161"/>
      <c r="C14" s="178">
        <f>85*B14</f>
        <v>0</v>
      </c>
      <c r="D14" s="161"/>
      <c r="E14" s="178">
        <f>0.085*D14</f>
        <v>0</v>
      </c>
    </row>
    <row r="15" spans="1:5" ht="14.25">
      <c r="A15" s="206" t="s">
        <v>552</v>
      </c>
      <c r="B15" s="161"/>
      <c r="C15" s="178">
        <f>90*B15</f>
        <v>0</v>
      </c>
      <c r="D15" s="161"/>
      <c r="E15" s="178">
        <f>0.09*D15</f>
        <v>0</v>
      </c>
    </row>
    <row r="16" spans="1:5" ht="14.25">
      <c r="A16" s="206" t="s">
        <v>553</v>
      </c>
      <c r="B16" s="161"/>
      <c r="C16" s="178">
        <f>105*B16</f>
        <v>0</v>
      </c>
      <c r="D16" s="161"/>
      <c r="E16" s="178">
        <f>0.105*D16</f>
        <v>0</v>
      </c>
    </row>
    <row r="17" ht="14.25">
      <c r="A17" s="116"/>
    </row>
    <row r="18" ht="15">
      <c r="A18" s="217" t="s">
        <v>641</v>
      </c>
    </row>
    <row r="19" spans="1:3" ht="14.25">
      <c r="A19" s="118"/>
      <c r="B19" s="119"/>
      <c r="C19" s="31" t="s">
        <v>347</v>
      </c>
    </row>
    <row r="20" spans="1:3" ht="14.25">
      <c r="A20" s="117" t="s">
        <v>348</v>
      </c>
      <c r="B20" s="161"/>
      <c r="C20" s="177">
        <f>3.6*B20</f>
        <v>0</v>
      </c>
    </row>
    <row r="21" spans="1:3" ht="14.25">
      <c r="A21" s="117" t="s">
        <v>170</v>
      </c>
      <c r="B21" s="161"/>
      <c r="C21" s="177">
        <f>3600*B21</f>
        <v>0</v>
      </c>
    </row>
    <row r="22" ht="14.25">
      <c r="A22" s="116"/>
    </row>
    <row r="23" ht="15">
      <c r="A23" s="217" t="s">
        <v>642</v>
      </c>
    </row>
    <row r="24" spans="1:13" ht="14.25">
      <c r="A24" s="196" t="s">
        <v>643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4"/>
      <c r="M24" s="34"/>
    </row>
    <row r="25" spans="1:13" ht="14.25">
      <c r="A25" s="196" t="s">
        <v>644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34"/>
      <c r="M25" s="34"/>
    </row>
    <row r="26" spans="1:13" ht="15">
      <c r="A26" s="218" t="s">
        <v>645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34"/>
      <c r="M26" s="34"/>
    </row>
    <row r="27" spans="1:8" ht="44.25">
      <c r="A27" s="201" t="s">
        <v>441</v>
      </c>
      <c r="B27" s="37" t="s">
        <v>635</v>
      </c>
      <c r="C27" s="199" t="s">
        <v>647</v>
      </c>
      <c r="D27" s="199" t="s">
        <v>648</v>
      </c>
      <c r="E27" s="199" t="s">
        <v>649</v>
      </c>
      <c r="F27" s="199" t="s">
        <v>648</v>
      </c>
      <c r="G27" s="199" t="s">
        <v>650</v>
      </c>
      <c r="H27" s="199" t="s">
        <v>648</v>
      </c>
    </row>
    <row r="28" spans="1:8" ht="14.25">
      <c r="A28" s="202" t="s">
        <v>442</v>
      </c>
      <c r="B28" s="31" t="s">
        <v>3</v>
      </c>
      <c r="C28" s="161"/>
      <c r="D28" s="178">
        <f>C28/'Lämpöarvot&amp;hyötysuhteet'!$C$6</f>
        <v>0</v>
      </c>
      <c r="E28" s="161"/>
      <c r="F28" s="178">
        <f>E28/('Lämpöarvot&amp;hyötysuhteet'!$C$6*'Lämpöarvot&amp;hyötysuhteet'!F6)</f>
        <v>0</v>
      </c>
      <c r="G28" s="161"/>
      <c r="H28" s="178">
        <f>G28/('Lämpöarvot&amp;hyötysuhteet'!$C$6*'Lämpöarvot&amp;hyötysuhteet'!D6)</f>
        <v>0</v>
      </c>
    </row>
    <row r="29" spans="1:8" ht="14.25">
      <c r="A29" s="202" t="s">
        <v>443</v>
      </c>
      <c r="B29" s="31" t="s">
        <v>3</v>
      </c>
      <c r="C29" s="161"/>
      <c r="D29" s="178">
        <f>C29/'Lämpöarvot&amp;hyötysuhteet'!$C$6</f>
        <v>0</v>
      </c>
      <c r="E29" s="161"/>
      <c r="F29" s="178">
        <f>E29/('Lämpöarvot&amp;hyötysuhteet'!$C$6*'Lämpöarvot&amp;hyötysuhteet'!G6)</f>
        <v>0</v>
      </c>
      <c r="G29" s="161"/>
      <c r="H29" s="178">
        <f>G29/('Lämpöarvot&amp;hyötysuhteet'!$C$6*'Lämpöarvot&amp;hyötysuhteet'!E6)</f>
        <v>0</v>
      </c>
    </row>
    <row r="30" spans="1:8" ht="14.25">
      <c r="A30" s="202" t="s">
        <v>444</v>
      </c>
      <c r="B30" s="31" t="s">
        <v>4</v>
      </c>
      <c r="C30" s="161"/>
      <c r="D30" s="178">
        <f>C30/'Lämpöarvot&amp;hyötysuhteet'!$C$7</f>
        <v>0</v>
      </c>
      <c r="E30" s="161"/>
      <c r="F30" s="178">
        <f>E30/('Lämpöarvot&amp;hyötysuhteet'!$C$7*'Lämpöarvot&amp;hyötysuhteet'!F7)</f>
        <v>0</v>
      </c>
      <c r="G30" s="161"/>
      <c r="H30" s="178">
        <f>G30/('Lämpöarvot&amp;hyötysuhteet'!$C$7*'Lämpöarvot&amp;hyötysuhteet'!D7)</f>
        <v>0</v>
      </c>
    </row>
    <row r="31" spans="1:8" ht="14.25">
      <c r="A31" s="202" t="s">
        <v>445</v>
      </c>
      <c r="B31" s="31" t="s">
        <v>4</v>
      </c>
      <c r="C31" s="161"/>
      <c r="D31" s="178">
        <f>C31/'Lämpöarvot&amp;hyötysuhteet'!$C$7</f>
        <v>0</v>
      </c>
      <c r="E31" s="161"/>
      <c r="F31" s="178">
        <f>E31/('Lämpöarvot&amp;hyötysuhteet'!$C$7*'Lämpöarvot&amp;hyötysuhteet'!G7)</f>
        <v>0</v>
      </c>
      <c r="G31" s="161"/>
      <c r="H31" s="178">
        <f>G31/('Lämpöarvot&amp;hyötysuhteet'!$C$7*'Lämpöarvot&amp;hyötysuhteet'!E7)</f>
        <v>0</v>
      </c>
    </row>
    <row r="32" spans="1:8" ht="14.25">
      <c r="A32" s="202" t="s">
        <v>468</v>
      </c>
      <c r="B32" s="31" t="s">
        <v>3</v>
      </c>
      <c r="C32" s="161"/>
      <c r="D32" s="178">
        <f>C32/'Lämpöarvot&amp;hyötysuhteet'!$C$8</f>
        <v>0</v>
      </c>
      <c r="E32" s="179"/>
      <c r="F32" s="180"/>
      <c r="G32" s="161"/>
      <c r="H32" s="178">
        <f>G32/('Lämpöarvot&amp;hyötysuhteet'!$C$8*'Lämpöarvot&amp;hyötysuhteet'!D8)</f>
        <v>0</v>
      </c>
    </row>
    <row r="33" spans="1:8" ht="14.25">
      <c r="A33" s="202" t="s">
        <v>469</v>
      </c>
      <c r="B33" s="31" t="s">
        <v>3</v>
      </c>
      <c r="C33" s="161"/>
      <c r="D33" s="178">
        <f>C33/'Lämpöarvot&amp;hyötysuhteet'!$C$8</f>
        <v>0</v>
      </c>
      <c r="E33" s="179"/>
      <c r="F33" s="180"/>
      <c r="G33" s="161"/>
      <c r="H33" s="178">
        <f>G33/('Lämpöarvot&amp;hyötysuhteet'!$C$8*'Lämpöarvot&amp;hyötysuhteet'!E8)</f>
        <v>0</v>
      </c>
    </row>
    <row r="34" spans="1:8" ht="14.25">
      <c r="A34" s="202" t="s">
        <v>646</v>
      </c>
      <c r="B34" s="31" t="s">
        <v>3</v>
      </c>
      <c r="C34" s="161"/>
      <c r="D34" s="178">
        <f>C34/'Lämpöarvot&amp;hyötysuhteet'!$C$9</f>
        <v>0</v>
      </c>
      <c r="E34" s="161"/>
      <c r="F34" s="178">
        <f>E34/('Lämpöarvot&amp;hyötysuhteet'!$C$9*'Lämpöarvot&amp;hyötysuhteet'!F9)</f>
        <v>0</v>
      </c>
      <c r="G34" s="161"/>
      <c r="H34" s="178">
        <f>G34/('Lämpöarvot&amp;hyötysuhteet'!$C$9*'Lämpöarvot&amp;hyötysuhteet'!D9)</f>
        <v>0</v>
      </c>
    </row>
    <row r="35" spans="1:8" ht="14.25">
      <c r="A35" s="202" t="s">
        <v>447</v>
      </c>
      <c r="B35" s="31" t="s">
        <v>3</v>
      </c>
      <c r="C35" s="161"/>
      <c r="D35" s="178">
        <f>C35/'Lämpöarvot&amp;hyötysuhteet'!$C$9</f>
        <v>0</v>
      </c>
      <c r="E35" s="161"/>
      <c r="F35" s="178">
        <f>E35/('Lämpöarvot&amp;hyötysuhteet'!$C$9*'Lämpöarvot&amp;hyötysuhteet'!G9)</f>
        <v>0</v>
      </c>
      <c r="G35" s="161"/>
      <c r="H35" s="178">
        <f>G35/('Lämpöarvot&amp;hyötysuhteet'!$C$9*'Lämpöarvot&amp;hyötysuhteet'!E9)</f>
        <v>0</v>
      </c>
    </row>
    <row r="36" spans="1:8" ht="14.25">
      <c r="A36" s="202" t="s">
        <v>448</v>
      </c>
      <c r="B36" s="31" t="s">
        <v>3</v>
      </c>
      <c r="C36" s="161"/>
      <c r="D36" s="178">
        <f>C36/'Lämpöarvot&amp;hyötysuhteet'!$C$10</f>
        <v>0</v>
      </c>
      <c r="E36" s="161"/>
      <c r="F36" s="178">
        <f>E36/('Lämpöarvot&amp;hyötysuhteet'!$C$10*'Lämpöarvot&amp;hyötysuhteet'!F10)</f>
        <v>0</v>
      </c>
      <c r="G36" s="161"/>
      <c r="H36" s="178">
        <f>G36/('Lämpöarvot&amp;hyötysuhteet'!$C$10*'Lämpöarvot&amp;hyötysuhteet'!D10)</f>
        <v>0</v>
      </c>
    </row>
    <row r="37" spans="1:8" ht="14.25">
      <c r="A37" s="202" t="s">
        <v>449</v>
      </c>
      <c r="B37" s="31" t="s">
        <v>3</v>
      </c>
      <c r="C37" s="161"/>
      <c r="D37" s="178">
        <f>C37/'Lämpöarvot&amp;hyötysuhteet'!$C$10</f>
        <v>0</v>
      </c>
      <c r="E37" s="161"/>
      <c r="F37" s="178">
        <f>E37/('Lämpöarvot&amp;hyötysuhteet'!$C$10*'Lämpöarvot&amp;hyötysuhteet'!G10)</f>
        <v>0</v>
      </c>
      <c r="G37" s="161"/>
      <c r="H37" s="178">
        <f>G37/('Lämpöarvot&amp;hyötysuhteet'!$C$10*'Lämpöarvot&amp;hyötysuhteet'!E10)</f>
        <v>0</v>
      </c>
    </row>
    <row r="38" spans="1:8" ht="14.25">
      <c r="A38" s="202" t="s">
        <v>450</v>
      </c>
      <c r="B38" s="31" t="s">
        <v>3</v>
      </c>
      <c r="C38" s="161"/>
      <c r="D38" s="178">
        <f>C38/'Lämpöarvot&amp;hyötysuhteet'!$C$11</f>
        <v>0</v>
      </c>
      <c r="E38" s="161"/>
      <c r="F38" s="178">
        <f>E38/('Lämpöarvot&amp;hyötysuhteet'!$C$11*'Lämpöarvot&amp;hyötysuhteet'!F11)</f>
        <v>0</v>
      </c>
      <c r="G38" s="161"/>
      <c r="H38" s="178">
        <f>G38/('Lämpöarvot&amp;hyötysuhteet'!$C$11*'Lämpöarvot&amp;hyötysuhteet'!D11)</f>
        <v>0</v>
      </c>
    </row>
    <row r="39" spans="1:8" ht="14.25">
      <c r="A39" s="202" t="s">
        <v>451</v>
      </c>
      <c r="B39" s="31" t="s">
        <v>3</v>
      </c>
      <c r="C39" s="161"/>
      <c r="D39" s="178">
        <f>C39/'Lämpöarvot&amp;hyötysuhteet'!$C$11</f>
        <v>0</v>
      </c>
      <c r="E39" s="161"/>
      <c r="F39" s="178">
        <f>E39/('Lämpöarvot&amp;hyötysuhteet'!$C$11*'Lämpöarvot&amp;hyötysuhteet'!G11)</f>
        <v>0</v>
      </c>
      <c r="G39" s="161"/>
      <c r="H39" s="178">
        <f>G39/('Lämpöarvot&amp;hyötysuhteet'!$C$11*'Lämpöarvot&amp;hyötysuhteet'!E11)</f>
        <v>0</v>
      </c>
    </row>
    <row r="40" spans="1:8" ht="14.25">
      <c r="A40" s="202" t="s">
        <v>454</v>
      </c>
      <c r="B40" s="31" t="s">
        <v>3</v>
      </c>
      <c r="C40" s="161"/>
      <c r="D40" s="178">
        <f>C40/'Lämpöarvot&amp;hyötysuhteet'!$C$13</f>
        <v>0</v>
      </c>
      <c r="E40" s="161"/>
      <c r="F40" s="178">
        <f>E40/('Lämpöarvot&amp;hyötysuhteet'!$C$13*'Lämpöarvot&amp;hyötysuhteet'!F13)</f>
        <v>0</v>
      </c>
      <c r="G40" s="161"/>
      <c r="H40" s="178">
        <f>G40/('Lämpöarvot&amp;hyötysuhteet'!$C$13*'Lämpöarvot&amp;hyötysuhteet'!D13)</f>
        <v>0</v>
      </c>
    </row>
    <row r="41" spans="1:8" ht="14.25">
      <c r="A41" s="202" t="s">
        <v>455</v>
      </c>
      <c r="B41" s="31" t="s">
        <v>3</v>
      </c>
      <c r="C41" s="161"/>
      <c r="D41" s="178">
        <f>C41/'Lämpöarvot&amp;hyötysuhteet'!$C$13</f>
        <v>0</v>
      </c>
      <c r="E41" s="161"/>
      <c r="F41" s="178">
        <f>E41/('Lämpöarvot&amp;hyötysuhteet'!$C$13*'Lämpöarvot&amp;hyötysuhteet'!G13)</f>
        <v>0</v>
      </c>
      <c r="G41" s="161"/>
      <c r="H41" s="178">
        <f>G41/('Lämpöarvot&amp;hyötysuhteet'!$C$13*'Lämpöarvot&amp;hyötysuhteet'!E13)</f>
        <v>0</v>
      </c>
    </row>
    <row r="42" spans="1:8" ht="14.25">
      <c r="A42" s="202" t="s">
        <v>456</v>
      </c>
      <c r="B42" s="31" t="s">
        <v>4</v>
      </c>
      <c r="C42" s="161"/>
      <c r="D42" s="178">
        <f>C42/'Lämpöarvot&amp;hyötysuhteet'!$C$14</f>
        <v>0</v>
      </c>
      <c r="E42" s="161"/>
      <c r="F42" s="178">
        <f>E42/('Lämpöarvot&amp;hyötysuhteet'!$C$14*'Lämpöarvot&amp;hyötysuhteet'!F14)</f>
        <v>0</v>
      </c>
      <c r="G42" s="161"/>
      <c r="H42" s="178">
        <f>G42/('Lämpöarvot&amp;hyötysuhteet'!$C$14*'Lämpöarvot&amp;hyötysuhteet'!D14)</f>
        <v>0</v>
      </c>
    </row>
    <row r="43" spans="1:8" ht="14.25">
      <c r="A43" s="202" t="s">
        <v>457</v>
      </c>
      <c r="B43" s="31" t="s">
        <v>4</v>
      </c>
      <c r="C43" s="161"/>
      <c r="D43" s="178">
        <f>C43/'Lämpöarvot&amp;hyötysuhteet'!$C$14</f>
        <v>0</v>
      </c>
      <c r="E43" s="161"/>
      <c r="F43" s="178">
        <f>E43/('Lämpöarvot&amp;hyötysuhteet'!$C$14*'Lämpöarvot&amp;hyötysuhteet'!G14)</f>
        <v>0</v>
      </c>
      <c r="G43" s="161"/>
      <c r="H43" s="178">
        <f>G43/('Lämpöarvot&amp;hyötysuhteet'!$C$14*'Lämpöarvot&amp;hyötysuhteet'!E14)</f>
        <v>0</v>
      </c>
    </row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G128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3" width="20.7109375" style="1" customWidth="1"/>
    <col min="4" max="16384" width="9.140625" style="1" customWidth="1"/>
  </cols>
  <sheetData>
    <row r="1" ht="15">
      <c r="A1" s="2" t="s">
        <v>268</v>
      </c>
    </row>
    <row r="2" spans="1:7" ht="24">
      <c r="A2" s="182" t="s">
        <v>376</v>
      </c>
      <c r="B2" s="5"/>
      <c r="C2" s="5"/>
      <c r="D2" s="5"/>
      <c r="E2" s="5"/>
      <c r="F2" s="5"/>
      <c r="G2" s="5"/>
    </row>
    <row r="3" spans="1:7" ht="28.5">
      <c r="A3" s="5"/>
      <c r="B3" s="205" t="s">
        <v>660</v>
      </c>
      <c r="C3" s="205" t="s">
        <v>661</v>
      </c>
      <c r="D3" s="5"/>
      <c r="E3" s="5"/>
      <c r="F3" s="5"/>
      <c r="G3" s="5"/>
    </row>
    <row r="4" spans="1:7" ht="14.25" customHeight="1">
      <c r="A4" s="219" t="s">
        <v>651</v>
      </c>
      <c r="B4" s="183">
        <f>'2. Elektricitet'!C59</f>
        <v>0</v>
      </c>
      <c r="C4" s="183">
        <f>B4*'1. Grundinformation'!$B$4/'1. Grundinformation'!B3</f>
        <v>0</v>
      </c>
      <c r="D4" s="5"/>
      <c r="E4" s="5"/>
      <c r="F4" s="5"/>
      <c r="G4" s="5"/>
    </row>
    <row r="5" spans="1:7" ht="14.25" customHeight="1">
      <c r="A5" s="220" t="s">
        <v>652</v>
      </c>
      <c r="B5" s="183">
        <f>'3. Värme'!C53</f>
        <v>0</v>
      </c>
      <c r="C5" s="183">
        <f>B5*'1. Grundinformation'!$B$4/'1. Grundinformation'!B3</f>
        <v>0</v>
      </c>
      <c r="D5" s="5"/>
      <c r="E5" s="5"/>
      <c r="F5" s="5"/>
      <c r="G5" s="5"/>
    </row>
    <row r="6" spans="1:7" ht="14.25" customHeight="1">
      <c r="A6" s="219" t="s">
        <v>640</v>
      </c>
      <c r="B6" s="183">
        <f>'4. Koldioksid'!C5</f>
        <v>0</v>
      </c>
      <c r="C6" s="183">
        <f>B6*'1. Grundinformation'!$B$4/'1. Grundinformation'!B3</f>
        <v>0</v>
      </c>
      <c r="D6" s="5"/>
      <c r="E6" s="5"/>
      <c r="F6" s="5"/>
      <c r="G6" s="5"/>
    </row>
    <row r="7" spans="1:7" ht="14.25" customHeight="1">
      <c r="A7" s="219" t="s">
        <v>653</v>
      </c>
      <c r="B7" s="183">
        <f>'5. Plantor&amp;lök'!C14</f>
        <v>0</v>
      </c>
      <c r="C7" s="183">
        <f>B7*'1. Grundinformation'!B4/'1. Grundinformation'!B3</f>
        <v>0</v>
      </c>
      <c r="D7" s="5"/>
      <c r="E7" s="5"/>
      <c r="F7" s="5"/>
      <c r="G7" s="5"/>
    </row>
    <row r="8" spans="1:7" ht="14.25" customHeight="1">
      <c r="A8" s="219" t="s">
        <v>654</v>
      </c>
      <c r="B8" s="183">
        <f>'6. Gödselmedel'!B55</f>
        <v>0</v>
      </c>
      <c r="C8" s="183">
        <f>B8*'1. Grundinformation'!B4/'1. Grundinformation'!B3</f>
        <v>0</v>
      </c>
      <c r="D8" s="5"/>
      <c r="E8" s="5"/>
      <c r="F8" s="5"/>
      <c r="G8" s="5"/>
    </row>
    <row r="9" spans="1:7" ht="14.25" customHeight="1">
      <c r="A9" s="219" t="s">
        <v>546</v>
      </c>
      <c r="B9" s="183">
        <f>'7. Växtunderlag'!C15</f>
        <v>0</v>
      </c>
      <c r="C9" s="183">
        <f>B9*'1. Grundinformation'!B4/'1. Grundinformation'!B3</f>
        <v>0</v>
      </c>
      <c r="D9" s="5"/>
      <c r="E9" s="5"/>
      <c r="F9" s="5"/>
      <c r="G9" s="5"/>
    </row>
    <row r="10" spans="1:7" ht="14.25" customHeight="1">
      <c r="A10" s="219" t="s">
        <v>655</v>
      </c>
      <c r="B10" s="183">
        <f>'8. Förpackningar'!C28</f>
        <v>0</v>
      </c>
      <c r="C10" s="183">
        <f>B10*'1. Grundinformation'!B4/'1. Grundinformation'!B3</f>
        <v>0</v>
      </c>
      <c r="D10" s="5"/>
      <c r="E10" s="5"/>
      <c r="F10" s="5"/>
      <c r="G10" s="5"/>
    </row>
    <row r="11" spans="1:7" ht="14.25" customHeight="1">
      <c r="A11" s="219" t="s">
        <v>656</v>
      </c>
      <c r="B11" s="183">
        <f>'9. Transport'!C47</f>
        <v>0</v>
      </c>
      <c r="C11" s="183">
        <f>B11*'1. Grundinformation'!B4/'1. Grundinformation'!B3</f>
        <v>0</v>
      </c>
      <c r="D11" s="5"/>
      <c r="E11" s="5"/>
      <c r="F11" s="5"/>
      <c r="G11" s="5"/>
    </row>
    <row r="12" spans="1:7" ht="14.25" customHeight="1">
      <c r="A12" s="220" t="s">
        <v>657</v>
      </c>
      <c r="B12" s="184">
        <f>'10. Avfall'!C20</f>
        <v>0</v>
      </c>
      <c r="C12" s="183">
        <f>B12*'1. Grundinformation'!B4/'1. Grundinformation'!B3</f>
        <v>0</v>
      </c>
      <c r="D12" s="5"/>
      <c r="E12" s="5"/>
      <c r="F12" s="5"/>
      <c r="G12" s="5"/>
    </row>
    <row r="13" spans="1:7" ht="14.25" customHeight="1">
      <c r="A13" s="221" t="s">
        <v>467</v>
      </c>
      <c r="B13" s="185">
        <f>SUM(B4:B12)</f>
        <v>0</v>
      </c>
      <c r="C13" s="185">
        <f>SUM(C4:C12)</f>
        <v>0</v>
      </c>
      <c r="D13" s="5"/>
      <c r="E13" s="5"/>
      <c r="F13" s="5"/>
      <c r="G13" s="5"/>
    </row>
    <row r="14" spans="1:7" ht="14.25" customHeight="1">
      <c r="A14" s="220" t="s">
        <v>658</v>
      </c>
      <c r="B14" s="186"/>
      <c r="C14" s="186"/>
      <c r="D14" s="5"/>
      <c r="E14" s="5"/>
      <c r="F14" s="5"/>
      <c r="G14" s="5"/>
    </row>
    <row r="15" spans="1:7" ht="14.25" customHeight="1">
      <c r="A15" s="158"/>
      <c r="B15" s="186"/>
      <c r="C15" s="186"/>
      <c r="D15" s="5"/>
      <c r="E15" s="5"/>
      <c r="F15" s="5"/>
      <c r="G15" s="5"/>
    </row>
    <row r="16" spans="1:7" ht="14.25" customHeight="1">
      <c r="A16" s="219" t="s">
        <v>616</v>
      </c>
      <c r="B16" s="183">
        <f>'9. Transport'!C65</f>
        <v>0</v>
      </c>
      <c r="C16" s="183">
        <f>B16/'1. Grundinformation'!$B$4</f>
        <v>0</v>
      </c>
      <c r="D16" s="5"/>
      <c r="E16" s="5"/>
      <c r="F16" s="5"/>
      <c r="G16" s="5"/>
    </row>
    <row r="17" spans="1:7" ht="14.25" customHeight="1">
      <c r="A17" s="221" t="s">
        <v>467</v>
      </c>
      <c r="B17" s="185">
        <f>B13+B16</f>
        <v>0</v>
      </c>
      <c r="C17" s="185">
        <f>C13+C16</f>
        <v>0</v>
      </c>
      <c r="D17" s="5"/>
      <c r="E17" s="5"/>
      <c r="F17" s="5"/>
      <c r="G17" s="5"/>
    </row>
    <row r="18" spans="1:7" ht="14.25" customHeight="1">
      <c r="A18" s="220" t="s">
        <v>659</v>
      </c>
      <c r="B18" s="5"/>
      <c r="C18" s="5"/>
      <c r="D18" s="5"/>
      <c r="E18" s="5"/>
      <c r="F18" s="5"/>
      <c r="G18" s="5"/>
    </row>
    <row r="19" spans="1:7" ht="14.25" customHeight="1">
      <c r="A19" s="158"/>
      <c r="B19" s="5"/>
      <c r="C19" s="5"/>
      <c r="D19" s="5"/>
      <c r="E19" s="5"/>
      <c r="F19" s="5"/>
      <c r="G19" s="5"/>
    </row>
    <row r="20" spans="1:7" ht="14.25" customHeight="1">
      <c r="A20" s="210" t="s">
        <v>662</v>
      </c>
      <c r="B20" s="5"/>
      <c r="C20" s="5"/>
      <c r="D20" s="5"/>
      <c r="E20" s="5"/>
      <c r="F20" s="5"/>
      <c r="G20" s="5"/>
    </row>
    <row r="21" spans="1:7" ht="14.25" customHeight="1">
      <c r="A21" s="158"/>
      <c r="B21" s="5"/>
      <c r="C21" s="5"/>
      <c r="D21" s="5"/>
      <c r="E21" s="5"/>
      <c r="F21" s="5"/>
      <c r="G21" s="5"/>
    </row>
    <row r="22" spans="1:7" ht="14.25" customHeight="1">
      <c r="A22" s="158"/>
      <c r="B22" s="5"/>
      <c r="C22" s="5"/>
      <c r="D22" s="5"/>
      <c r="E22" s="5"/>
      <c r="F22" s="5"/>
      <c r="G22" s="5"/>
    </row>
    <row r="23" spans="1:7" ht="14.25" customHeight="1">
      <c r="A23" s="158"/>
      <c r="B23" s="5"/>
      <c r="C23" s="5"/>
      <c r="D23" s="5"/>
      <c r="E23" s="5"/>
      <c r="F23" s="5"/>
      <c r="G23" s="5"/>
    </row>
    <row r="24" spans="1:7" ht="14.25" customHeight="1">
      <c r="A24" s="158"/>
      <c r="B24" s="5"/>
      <c r="C24" s="5"/>
      <c r="D24" s="5"/>
      <c r="E24" s="5"/>
      <c r="F24" s="5"/>
      <c r="G24" s="5"/>
    </row>
    <row r="25" spans="1:7" ht="14.25" customHeight="1">
      <c r="A25" s="158"/>
      <c r="B25" s="5"/>
      <c r="C25" s="5"/>
      <c r="D25" s="5"/>
      <c r="E25" s="5"/>
      <c r="F25" s="5"/>
      <c r="G25" s="5"/>
    </row>
    <row r="26" spans="1:7" ht="14.25" customHeight="1">
      <c r="A26" s="5"/>
      <c r="B26" s="5"/>
      <c r="C26" s="5"/>
      <c r="D26" s="5"/>
      <c r="E26" s="5"/>
      <c r="F26" s="5"/>
      <c r="G26" s="5"/>
    </row>
    <row r="27" spans="1:7" ht="14.25" customHeight="1">
      <c r="A27" s="5"/>
      <c r="B27" s="5"/>
      <c r="C27" s="5"/>
      <c r="D27" s="5"/>
      <c r="E27" s="5"/>
      <c r="F27" s="5"/>
      <c r="G27" s="5"/>
    </row>
    <row r="28" spans="1:7" ht="14.25" customHeight="1">
      <c r="A28" s="5"/>
      <c r="B28" s="5"/>
      <c r="C28" s="5"/>
      <c r="D28" s="5"/>
      <c r="E28" s="5"/>
      <c r="F28" s="5"/>
      <c r="G28" s="5"/>
    </row>
    <row r="29" spans="1:7" ht="14.25" customHeight="1">
      <c r="A29" s="5"/>
      <c r="B29" s="5"/>
      <c r="C29" s="5"/>
      <c r="D29" s="5"/>
      <c r="E29" s="5"/>
      <c r="F29" s="5"/>
      <c r="G29" s="5"/>
    </row>
    <row r="30" spans="1:7" ht="14.25" customHeight="1">
      <c r="A30" s="5"/>
      <c r="B30" s="5"/>
      <c r="C30" s="5"/>
      <c r="D30" s="5"/>
      <c r="E30" s="5"/>
      <c r="F30" s="5"/>
      <c r="G30" s="5"/>
    </row>
    <row r="31" spans="1:7" ht="14.25" customHeight="1">
      <c r="A31" s="5"/>
      <c r="B31" s="5"/>
      <c r="C31" s="5"/>
      <c r="D31" s="5"/>
      <c r="E31" s="5"/>
      <c r="F31" s="5"/>
      <c r="G31" s="5"/>
    </row>
    <row r="32" spans="1:7" ht="14.25" customHeight="1">
      <c r="A32" s="5"/>
      <c r="B32" s="5"/>
      <c r="C32" s="5"/>
      <c r="D32" s="5"/>
      <c r="E32" s="5"/>
      <c r="F32" s="5"/>
      <c r="G32" s="5"/>
    </row>
    <row r="33" spans="1:7" ht="14.25" customHeight="1">
      <c r="A33" s="5"/>
      <c r="B33" s="5"/>
      <c r="C33" s="5"/>
      <c r="D33" s="5"/>
      <c r="E33" s="5"/>
      <c r="F33" s="5"/>
      <c r="G33" s="5"/>
    </row>
    <row r="34" spans="1:7" ht="14.25" customHeight="1">
      <c r="A34" s="5"/>
      <c r="B34" s="5"/>
      <c r="C34" s="5"/>
      <c r="D34" s="5"/>
      <c r="E34" s="5"/>
      <c r="F34" s="5"/>
      <c r="G34" s="5"/>
    </row>
    <row r="35" spans="1:7" ht="14.25" customHeight="1">
      <c r="A35" s="5"/>
      <c r="B35" s="5"/>
      <c r="C35" s="5"/>
      <c r="D35" s="5"/>
      <c r="E35" s="5"/>
      <c r="F35" s="5"/>
      <c r="G35" s="5"/>
    </row>
    <row r="36" spans="1:7" ht="14.25" customHeight="1">
      <c r="A36" s="5"/>
      <c r="B36" s="5"/>
      <c r="C36" s="5"/>
      <c r="D36" s="5"/>
      <c r="E36" s="5"/>
      <c r="F36" s="5"/>
      <c r="G36" s="5"/>
    </row>
    <row r="37" spans="1:7" ht="14.25" customHeight="1">
      <c r="A37" s="5"/>
      <c r="B37" s="5"/>
      <c r="C37" s="5"/>
      <c r="D37" s="5"/>
      <c r="E37" s="5"/>
      <c r="F37" s="5"/>
      <c r="G37" s="5"/>
    </row>
    <row r="38" spans="1:7" ht="14.25" customHeight="1">
      <c r="A38" s="5"/>
      <c r="B38" s="5"/>
      <c r="C38" s="5"/>
      <c r="D38" s="5"/>
      <c r="E38" s="5"/>
      <c r="F38" s="5"/>
      <c r="G38" s="5"/>
    </row>
    <row r="39" spans="1:7" ht="14.25" customHeight="1">
      <c r="A39" s="5"/>
      <c r="B39" s="5"/>
      <c r="C39" s="5"/>
      <c r="D39" s="5"/>
      <c r="E39" s="5"/>
      <c r="F39" s="5"/>
      <c r="G39" s="5"/>
    </row>
    <row r="40" spans="1:7" ht="14.25" customHeight="1">
      <c r="A40" s="5"/>
      <c r="B40" s="5"/>
      <c r="C40" s="5"/>
      <c r="D40" s="5"/>
      <c r="E40" s="5"/>
      <c r="F40" s="5"/>
      <c r="G40" s="5"/>
    </row>
    <row r="41" spans="1:7" ht="14.25" customHeight="1">
      <c r="A41" s="5"/>
      <c r="B41" s="5"/>
      <c r="C41" s="5"/>
      <c r="D41" s="5"/>
      <c r="E41" s="5"/>
      <c r="F41" s="5"/>
      <c r="G41" s="5"/>
    </row>
    <row r="42" spans="1:7" ht="14.25" customHeight="1">
      <c r="A42" s="5"/>
      <c r="B42" s="5"/>
      <c r="C42" s="5"/>
      <c r="D42" s="5"/>
      <c r="E42" s="5"/>
      <c r="F42" s="5"/>
      <c r="G42" s="5"/>
    </row>
    <row r="43" spans="1:7" ht="14.25" customHeight="1">
      <c r="A43" s="5"/>
      <c r="B43" s="5"/>
      <c r="C43" s="5"/>
      <c r="D43" s="5"/>
      <c r="E43" s="5"/>
      <c r="F43" s="5"/>
      <c r="G43" s="5"/>
    </row>
    <row r="44" spans="1:7" ht="14.25" customHeight="1">
      <c r="A44" s="5"/>
      <c r="B44" s="5"/>
      <c r="C44" s="5"/>
      <c r="D44" s="5"/>
      <c r="E44" s="5"/>
      <c r="F44" s="5"/>
      <c r="G44" s="5"/>
    </row>
    <row r="45" spans="1:7" ht="14.25" customHeight="1">
      <c r="A45" s="5"/>
      <c r="B45" s="5"/>
      <c r="C45" s="5"/>
      <c r="D45" s="5"/>
      <c r="E45" s="5"/>
      <c r="F45" s="5"/>
      <c r="G45" s="5"/>
    </row>
    <row r="46" spans="1:7" ht="14.25" customHeight="1">
      <c r="A46" s="5"/>
      <c r="B46" s="5"/>
      <c r="C46" s="5"/>
      <c r="D46" s="5"/>
      <c r="E46" s="5"/>
      <c r="F46" s="5"/>
      <c r="G46" s="5"/>
    </row>
    <row r="47" spans="1:7" ht="14.25" customHeight="1">
      <c r="A47" s="5"/>
      <c r="B47" s="5"/>
      <c r="C47" s="5"/>
      <c r="D47" s="5"/>
      <c r="E47" s="5"/>
      <c r="F47" s="5"/>
      <c r="G47" s="5"/>
    </row>
    <row r="48" spans="1:7" ht="14.25" customHeight="1">
      <c r="A48" s="5"/>
      <c r="B48" s="5"/>
      <c r="C48" s="5"/>
      <c r="D48" s="5"/>
      <c r="E48" s="5"/>
      <c r="F48" s="5"/>
      <c r="G48" s="5"/>
    </row>
    <row r="49" spans="1:7" ht="14.25" customHeight="1">
      <c r="A49" s="5"/>
      <c r="B49" s="5"/>
      <c r="C49" s="5"/>
      <c r="D49" s="5"/>
      <c r="E49" s="5"/>
      <c r="F49" s="5"/>
      <c r="G49" s="5"/>
    </row>
    <row r="50" spans="1:7" ht="14.25" customHeight="1">
      <c r="A50" s="5"/>
      <c r="B50" s="5"/>
      <c r="C50" s="5"/>
      <c r="D50" s="5"/>
      <c r="E50" s="5"/>
      <c r="F50" s="5"/>
      <c r="G50" s="5"/>
    </row>
    <row r="51" spans="1:7" ht="14.25" customHeight="1">
      <c r="A51" s="5"/>
      <c r="B51" s="5"/>
      <c r="C51" s="5"/>
      <c r="D51" s="5"/>
      <c r="E51" s="5"/>
      <c r="F51" s="5"/>
      <c r="G51" s="5"/>
    </row>
    <row r="52" spans="1:7" ht="14.25" customHeight="1">
      <c r="A52" s="5"/>
      <c r="B52" s="5"/>
      <c r="C52" s="5"/>
      <c r="D52" s="5"/>
      <c r="E52" s="5"/>
      <c r="F52" s="5"/>
      <c r="G52" s="5"/>
    </row>
    <row r="53" spans="1:7" ht="14.25" customHeight="1">
      <c r="A53" s="5"/>
      <c r="B53" s="5"/>
      <c r="C53" s="5"/>
      <c r="D53" s="5"/>
      <c r="E53" s="5"/>
      <c r="F53" s="5"/>
      <c r="G53" s="5"/>
    </row>
    <row r="54" spans="1:7" ht="14.25" customHeight="1">
      <c r="A54" s="5"/>
      <c r="B54" s="5"/>
      <c r="C54" s="5"/>
      <c r="D54" s="5"/>
      <c r="E54" s="5"/>
      <c r="F54" s="5"/>
      <c r="G54" s="5"/>
    </row>
    <row r="55" spans="1:7" ht="14.25" customHeight="1">
      <c r="A55" s="5"/>
      <c r="B55" s="5"/>
      <c r="C55" s="5"/>
      <c r="D55" s="5"/>
      <c r="E55" s="5"/>
      <c r="F55" s="5"/>
      <c r="G55" s="5"/>
    </row>
    <row r="56" spans="1:7" ht="14.25" customHeight="1">
      <c r="A56" s="5"/>
      <c r="B56" s="5"/>
      <c r="C56" s="5"/>
      <c r="D56" s="5"/>
      <c r="E56" s="5"/>
      <c r="F56" s="5"/>
      <c r="G56" s="5"/>
    </row>
    <row r="57" spans="1:7" ht="14.25" customHeight="1">
      <c r="A57" s="5"/>
      <c r="B57" s="5"/>
      <c r="C57" s="5"/>
      <c r="D57" s="5"/>
      <c r="E57" s="5"/>
      <c r="F57" s="5"/>
      <c r="G57" s="5"/>
    </row>
    <row r="58" spans="1:7" ht="14.25" customHeight="1">
      <c r="A58" s="5"/>
      <c r="B58" s="5"/>
      <c r="C58" s="5"/>
      <c r="D58" s="5"/>
      <c r="E58" s="5"/>
      <c r="F58" s="5"/>
      <c r="G58" s="5"/>
    </row>
    <row r="59" spans="1:7" ht="14.25" customHeight="1">
      <c r="A59" s="5"/>
      <c r="B59" s="5"/>
      <c r="C59" s="5"/>
      <c r="D59" s="5"/>
      <c r="E59" s="5"/>
      <c r="F59" s="5"/>
      <c r="G59" s="5"/>
    </row>
    <row r="60" spans="1:7" ht="14.25" customHeight="1">
      <c r="A60" s="5"/>
      <c r="B60" s="5"/>
      <c r="C60" s="5"/>
      <c r="D60" s="5"/>
      <c r="E60" s="5"/>
      <c r="F60" s="5"/>
      <c r="G60" s="5"/>
    </row>
    <row r="61" spans="1:7" ht="14.25" customHeight="1">
      <c r="A61" s="5"/>
      <c r="B61" s="5"/>
      <c r="C61" s="5"/>
      <c r="D61" s="5"/>
      <c r="E61" s="5"/>
      <c r="F61" s="5"/>
      <c r="G61" s="5"/>
    </row>
    <row r="62" spans="1:7" ht="14.25" customHeight="1">
      <c r="A62" s="5"/>
      <c r="B62" s="5"/>
      <c r="C62" s="5"/>
      <c r="D62" s="5"/>
      <c r="E62" s="5"/>
      <c r="F62" s="5"/>
      <c r="G62" s="5"/>
    </row>
    <row r="63" spans="1:7" ht="14.25" customHeight="1">
      <c r="A63" s="5"/>
      <c r="B63" s="5"/>
      <c r="C63" s="5"/>
      <c r="D63" s="5"/>
      <c r="E63" s="5"/>
      <c r="F63" s="5"/>
      <c r="G63" s="5"/>
    </row>
    <row r="64" spans="1:7" ht="14.25" customHeight="1">
      <c r="A64" s="5"/>
      <c r="B64" s="5"/>
      <c r="C64" s="5"/>
      <c r="D64" s="5"/>
      <c r="E64" s="5"/>
      <c r="F64" s="5"/>
      <c r="G64" s="5"/>
    </row>
    <row r="65" spans="1:7" ht="14.25" customHeight="1">
      <c r="A65" s="5"/>
      <c r="B65" s="5"/>
      <c r="C65" s="5"/>
      <c r="D65" s="5"/>
      <c r="E65" s="5"/>
      <c r="F65" s="5"/>
      <c r="G65" s="5"/>
    </row>
    <row r="66" spans="1:7" ht="14.25" customHeight="1">
      <c r="A66" s="5"/>
      <c r="B66" s="5"/>
      <c r="C66" s="5"/>
      <c r="D66" s="5"/>
      <c r="E66" s="5"/>
      <c r="F66" s="5"/>
      <c r="G66" s="5"/>
    </row>
    <row r="67" spans="1:7" ht="14.25" customHeight="1">
      <c r="A67" s="5"/>
      <c r="B67" s="5"/>
      <c r="C67" s="5"/>
      <c r="D67" s="5"/>
      <c r="E67" s="5"/>
      <c r="F67" s="5"/>
      <c r="G67" s="5"/>
    </row>
    <row r="68" spans="1:7" ht="14.25" customHeight="1">
      <c r="A68" s="5"/>
      <c r="B68" s="5"/>
      <c r="C68" s="5"/>
      <c r="D68" s="5"/>
      <c r="E68" s="5"/>
      <c r="F68" s="5"/>
      <c r="G68" s="5"/>
    </row>
    <row r="69" spans="1:7" ht="14.25" customHeight="1">
      <c r="A69" s="5"/>
      <c r="B69" s="5"/>
      <c r="C69" s="5"/>
      <c r="D69" s="5"/>
      <c r="E69" s="5"/>
      <c r="F69" s="5"/>
      <c r="G69" s="5"/>
    </row>
    <row r="70" spans="1:7" ht="14.25" customHeight="1">
      <c r="A70" s="5"/>
      <c r="B70" s="5"/>
      <c r="C70" s="5"/>
      <c r="D70" s="5"/>
      <c r="E70" s="5"/>
      <c r="F70" s="5"/>
      <c r="G70" s="5"/>
    </row>
    <row r="71" spans="1:7" ht="14.25" customHeight="1">
      <c r="A71" s="5"/>
      <c r="B71" s="5"/>
      <c r="C71" s="5"/>
      <c r="D71" s="5"/>
      <c r="E71" s="5"/>
      <c r="F71" s="5"/>
      <c r="G71" s="5"/>
    </row>
    <row r="72" spans="1:7" ht="14.25" customHeight="1">
      <c r="A72" s="5"/>
      <c r="B72" s="5"/>
      <c r="C72" s="5"/>
      <c r="D72" s="5"/>
      <c r="E72" s="5"/>
      <c r="F72" s="5"/>
      <c r="G72" s="5"/>
    </row>
    <row r="73" spans="1:7" ht="14.25" customHeight="1">
      <c r="A73" s="5"/>
      <c r="B73" s="5"/>
      <c r="C73" s="5"/>
      <c r="D73" s="5"/>
      <c r="E73" s="5"/>
      <c r="F73" s="5"/>
      <c r="G73" s="5"/>
    </row>
    <row r="74" spans="1:7" ht="14.25" customHeight="1">
      <c r="A74" s="5"/>
      <c r="B74" s="5"/>
      <c r="C74" s="5"/>
      <c r="D74" s="5"/>
      <c r="E74" s="5"/>
      <c r="F74" s="5"/>
      <c r="G74" s="5"/>
    </row>
    <row r="75" spans="1:7" ht="14.25" customHeight="1">
      <c r="A75" s="5"/>
      <c r="B75" s="5"/>
      <c r="C75" s="5"/>
      <c r="D75" s="5"/>
      <c r="E75" s="5"/>
      <c r="F75" s="5"/>
      <c r="G75" s="5"/>
    </row>
    <row r="76" spans="1:7" ht="14.25" customHeight="1">
      <c r="A76" s="5"/>
      <c r="B76" s="5"/>
      <c r="C76" s="5"/>
      <c r="D76" s="5"/>
      <c r="E76" s="5"/>
      <c r="F76" s="5"/>
      <c r="G76" s="5"/>
    </row>
    <row r="77" spans="1:7" ht="14.25" customHeight="1">
      <c r="A77" s="5"/>
      <c r="B77" s="5"/>
      <c r="C77" s="5"/>
      <c r="D77" s="5"/>
      <c r="E77" s="5"/>
      <c r="F77" s="5"/>
      <c r="G77" s="5"/>
    </row>
    <row r="78" spans="1:7" ht="14.25" customHeight="1">
      <c r="A78" s="5"/>
      <c r="B78" s="5"/>
      <c r="C78" s="5"/>
      <c r="D78" s="5"/>
      <c r="E78" s="5"/>
      <c r="F78" s="5"/>
      <c r="G78" s="5"/>
    </row>
    <row r="79" spans="1:7" ht="14.25" customHeight="1">
      <c r="A79" s="5"/>
      <c r="B79" s="5"/>
      <c r="C79" s="5"/>
      <c r="D79" s="5"/>
      <c r="E79" s="5"/>
      <c r="F79" s="5"/>
      <c r="G79" s="5"/>
    </row>
    <row r="80" spans="1:7" ht="14.25" customHeight="1">
      <c r="A80" s="5"/>
      <c r="B80" s="5"/>
      <c r="C80" s="5"/>
      <c r="D80" s="5"/>
      <c r="E80" s="5"/>
      <c r="F80" s="5"/>
      <c r="G80" s="5"/>
    </row>
    <row r="81" spans="1:7" ht="14.25" customHeight="1">
      <c r="A81" s="5"/>
      <c r="B81" s="5"/>
      <c r="C81" s="5"/>
      <c r="D81" s="5"/>
      <c r="E81" s="5"/>
      <c r="F81" s="5"/>
      <c r="G81" s="5"/>
    </row>
    <row r="82" spans="1:7" ht="14.25" customHeight="1">
      <c r="A82" s="5"/>
      <c r="B82" s="5"/>
      <c r="C82" s="5"/>
      <c r="D82" s="5"/>
      <c r="E82" s="5"/>
      <c r="F82" s="5"/>
      <c r="G82" s="5"/>
    </row>
    <row r="83" spans="1:7" ht="14.25" customHeight="1">
      <c r="A83" s="5"/>
      <c r="B83" s="5"/>
      <c r="C83" s="5"/>
      <c r="D83" s="5"/>
      <c r="E83" s="5"/>
      <c r="F83" s="5"/>
      <c r="G83" s="5"/>
    </row>
    <row r="84" spans="1:7" ht="14.25" customHeight="1">
      <c r="A84" s="5"/>
      <c r="B84" s="5"/>
      <c r="C84" s="5"/>
      <c r="D84" s="5"/>
      <c r="E84" s="5"/>
      <c r="F84" s="5"/>
      <c r="G84" s="5"/>
    </row>
    <row r="85" spans="1:7" ht="14.25" customHeight="1">
      <c r="A85" s="5"/>
      <c r="B85" s="5"/>
      <c r="C85" s="5"/>
      <c r="D85" s="5"/>
      <c r="E85" s="5"/>
      <c r="F85" s="5"/>
      <c r="G85" s="5"/>
    </row>
    <row r="86" spans="1:7" ht="14.25" customHeight="1">
      <c r="A86" s="5"/>
      <c r="B86" s="5"/>
      <c r="C86" s="5"/>
      <c r="D86" s="5"/>
      <c r="E86" s="5"/>
      <c r="F86" s="5"/>
      <c r="G86" s="5"/>
    </row>
    <row r="87" spans="1:7" ht="14.25" customHeight="1">
      <c r="A87" s="5"/>
      <c r="B87" s="5"/>
      <c r="C87" s="5"/>
      <c r="D87" s="5"/>
      <c r="E87" s="5"/>
      <c r="F87" s="5"/>
      <c r="G87" s="5"/>
    </row>
    <row r="88" spans="1:7" ht="14.25" customHeight="1">
      <c r="A88" s="5"/>
      <c r="B88" s="5"/>
      <c r="C88" s="5"/>
      <c r="D88" s="5"/>
      <c r="E88" s="5"/>
      <c r="F88" s="5"/>
      <c r="G88" s="5"/>
    </row>
    <row r="89" spans="1:7" ht="14.25" customHeight="1">
      <c r="A89" s="5"/>
      <c r="B89" s="5"/>
      <c r="C89" s="5"/>
      <c r="D89" s="5"/>
      <c r="E89" s="5"/>
      <c r="F89" s="5"/>
      <c r="G89" s="5"/>
    </row>
    <row r="90" spans="1:7" ht="14.25" customHeight="1">
      <c r="A90" s="5"/>
      <c r="B90" s="5"/>
      <c r="C90" s="5"/>
      <c r="D90" s="5"/>
      <c r="E90" s="5"/>
      <c r="F90" s="5"/>
      <c r="G90" s="5"/>
    </row>
    <row r="91" spans="1:7" ht="14.25" customHeight="1">
      <c r="A91" s="5"/>
      <c r="B91" s="5"/>
      <c r="C91" s="5"/>
      <c r="D91" s="5"/>
      <c r="E91" s="5"/>
      <c r="F91" s="5"/>
      <c r="G91" s="5"/>
    </row>
    <row r="92" spans="1:7" ht="14.25" customHeight="1">
      <c r="A92" s="5"/>
      <c r="B92" s="5"/>
      <c r="C92" s="5"/>
      <c r="D92" s="5"/>
      <c r="E92" s="5"/>
      <c r="F92" s="5"/>
      <c r="G92" s="5"/>
    </row>
    <row r="93" spans="1:7" ht="14.25" customHeight="1">
      <c r="A93" s="5"/>
      <c r="B93" s="5"/>
      <c r="C93" s="5"/>
      <c r="D93" s="5"/>
      <c r="E93" s="5"/>
      <c r="F93" s="5"/>
      <c r="G93" s="5"/>
    </row>
    <row r="94" spans="1:7" ht="14.25" customHeight="1">
      <c r="A94" s="5"/>
      <c r="B94" s="5"/>
      <c r="C94" s="5"/>
      <c r="D94" s="5"/>
      <c r="E94" s="5"/>
      <c r="F94" s="5"/>
      <c r="G94" s="5"/>
    </row>
    <row r="95" spans="1:7" ht="14.25" customHeight="1">
      <c r="A95" s="5"/>
      <c r="B95" s="5"/>
      <c r="C95" s="5"/>
      <c r="D95" s="5"/>
      <c r="E95" s="5"/>
      <c r="F95" s="5"/>
      <c r="G95" s="5"/>
    </row>
    <row r="96" spans="1:7" ht="14.25" customHeight="1">
      <c r="A96" s="5"/>
      <c r="B96" s="5"/>
      <c r="C96" s="5"/>
      <c r="D96" s="5"/>
      <c r="E96" s="5"/>
      <c r="F96" s="5"/>
      <c r="G96" s="5"/>
    </row>
    <row r="97" spans="1:7" ht="14.25" customHeight="1">
      <c r="A97" s="5"/>
      <c r="B97" s="5"/>
      <c r="C97" s="5"/>
      <c r="D97" s="5"/>
      <c r="E97" s="5"/>
      <c r="F97" s="5"/>
      <c r="G97" s="5"/>
    </row>
    <row r="98" spans="1:7" ht="14.25" customHeight="1">
      <c r="A98" s="5"/>
      <c r="B98" s="5"/>
      <c r="C98" s="5"/>
      <c r="D98" s="5"/>
      <c r="E98" s="5"/>
      <c r="F98" s="5"/>
      <c r="G98" s="5"/>
    </row>
    <row r="99" spans="1:7" ht="14.25" customHeight="1">
      <c r="A99" s="5"/>
      <c r="B99" s="5"/>
      <c r="C99" s="5"/>
      <c r="D99" s="5"/>
      <c r="E99" s="5"/>
      <c r="F99" s="5"/>
      <c r="G99" s="5"/>
    </row>
    <row r="100" spans="1:7" ht="14.25" customHeight="1">
      <c r="A100" s="5"/>
      <c r="B100" s="5"/>
      <c r="C100" s="5"/>
      <c r="D100" s="5"/>
      <c r="E100" s="5"/>
      <c r="F100" s="5"/>
      <c r="G100" s="5"/>
    </row>
    <row r="101" spans="1:7" ht="14.25" customHeight="1">
      <c r="A101" s="5"/>
      <c r="B101" s="5"/>
      <c r="C101" s="5"/>
      <c r="D101" s="5"/>
      <c r="E101" s="5"/>
      <c r="F101" s="5"/>
      <c r="G101" s="5"/>
    </row>
    <row r="102" spans="1:7" ht="14.25" customHeight="1">
      <c r="A102" s="5"/>
      <c r="B102" s="5"/>
      <c r="C102" s="5"/>
      <c r="D102" s="5"/>
      <c r="E102" s="5"/>
      <c r="F102" s="5"/>
      <c r="G102" s="5"/>
    </row>
    <row r="103" spans="1:7" ht="14.25" customHeight="1">
      <c r="A103" s="5"/>
      <c r="B103" s="5"/>
      <c r="C103" s="5"/>
      <c r="D103" s="5"/>
      <c r="E103" s="5"/>
      <c r="F103" s="5"/>
      <c r="G103" s="5"/>
    </row>
    <row r="104" spans="1:7" ht="14.25" customHeight="1">
      <c r="A104" s="5"/>
      <c r="B104" s="5"/>
      <c r="C104" s="5"/>
      <c r="D104" s="5"/>
      <c r="E104" s="5"/>
      <c r="F104" s="5"/>
      <c r="G104" s="5"/>
    </row>
    <row r="105" spans="1:7" ht="14.25" customHeight="1">
      <c r="A105" s="5"/>
      <c r="B105" s="5"/>
      <c r="C105" s="5"/>
      <c r="D105" s="5"/>
      <c r="E105" s="5"/>
      <c r="F105" s="5"/>
      <c r="G105" s="5"/>
    </row>
    <row r="106" spans="1:7" ht="14.25" customHeight="1">
      <c r="A106" s="5"/>
      <c r="B106" s="5"/>
      <c r="C106" s="5"/>
      <c r="D106" s="5"/>
      <c r="E106" s="5"/>
      <c r="F106" s="5"/>
      <c r="G106" s="5"/>
    </row>
    <row r="107" spans="1:7" ht="14.25" customHeight="1">
      <c r="A107" s="5"/>
      <c r="B107" s="5"/>
      <c r="C107" s="5"/>
      <c r="D107" s="5"/>
      <c r="E107" s="5"/>
      <c r="F107" s="5"/>
      <c r="G107" s="5"/>
    </row>
    <row r="108" spans="1:7" ht="14.25" customHeight="1">
      <c r="A108" s="5"/>
      <c r="B108" s="5"/>
      <c r="C108" s="5"/>
      <c r="D108" s="5"/>
      <c r="E108" s="5"/>
      <c r="F108" s="5"/>
      <c r="G108" s="5"/>
    </row>
    <row r="109" spans="1:7" ht="14.25" customHeight="1">
      <c r="A109" s="5"/>
      <c r="B109" s="5"/>
      <c r="C109" s="5"/>
      <c r="D109" s="5"/>
      <c r="E109" s="5"/>
      <c r="F109" s="5"/>
      <c r="G109" s="5"/>
    </row>
    <row r="110" spans="1:7" ht="14.25" customHeight="1">
      <c r="A110" s="5"/>
      <c r="B110" s="5"/>
      <c r="C110" s="5"/>
      <c r="D110" s="5"/>
      <c r="E110" s="5"/>
      <c r="F110" s="5"/>
      <c r="G110" s="5"/>
    </row>
    <row r="111" spans="1:7" ht="14.25" customHeight="1">
      <c r="A111" s="5"/>
      <c r="B111" s="5"/>
      <c r="C111" s="5"/>
      <c r="D111" s="5"/>
      <c r="E111" s="5"/>
      <c r="F111" s="5"/>
      <c r="G111" s="5"/>
    </row>
    <row r="112" spans="1:7" ht="14.25" customHeight="1">
      <c r="A112" s="5"/>
      <c r="B112" s="5"/>
      <c r="C112" s="5"/>
      <c r="D112" s="5"/>
      <c r="E112" s="5"/>
      <c r="F112" s="5"/>
      <c r="G112" s="5"/>
    </row>
    <row r="113" spans="1:7" ht="14.25" customHeight="1">
      <c r="A113" s="5"/>
      <c r="B113" s="5"/>
      <c r="C113" s="5"/>
      <c r="D113" s="5"/>
      <c r="E113" s="5"/>
      <c r="F113" s="5"/>
      <c r="G113" s="5"/>
    </row>
    <row r="114" spans="1:7" ht="14.25" customHeight="1">
      <c r="A114" s="5"/>
      <c r="B114" s="5"/>
      <c r="C114" s="5"/>
      <c r="D114" s="5"/>
      <c r="E114" s="5"/>
      <c r="F114" s="5"/>
      <c r="G114" s="5"/>
    </row>
    <row r="115" spans="1:7" ht="14.25" customHeight="1">
      <c r="A115" s="5"/>
      <c r="B115" s="5"/>
      <c r="C115" s="5"/>
      <c r="D115" s="5"/>
      <c r="E115" s="5"/>
      <c r="F115" s="5"/>
      <c r="G115" s="5"/>
    </row>
    <row r="116" spans="1:7" ht="14.25" customHeight="1">
      <c r="A116" s="5"/>
      <c r="B116" s="5"/>
      <c r="C116" s="5"/>
      <c r="D116" s="5"/>
      <c r="E116" s="5"/>
      <c r="F116" s="5"/>
      <c r="G116" s="5"/>
    </row>
    <row r="117" spans="1:7" ht="14.25" customHeight="1">
      <c r="A117" s="5"/>
      <c r="B117" s="5"/>
      <c r="C117" s="5"/>
      <c r="D117" s="5"/>
      <c r="E117" s="5"/>
      <c r="F117" s="5"/>
      <c r="G117" s="5"/>
    </row>
    <row r="118" spans="1:7" ht="14.25" customHeight="1">
      <c r="A118" s="5"/>
      <c r="B118" s="5"/>
      <c r="C118" s="5"/>
      <c r="D118" s="5"/>
      <c r="E118" s="5"/>
      <c r="F118" s="5"/>
      <c r="G118" s="5"/>
    </row>
    <row r="119" spans="1:7" ht="14.25" customHeight="1">
      <c r="A119" s="5"/>
      <c r="B119" s="5"/>
      <c r="C119" s="5"/>
      <c r="D119" s="5"/>
      <c r="E119" s="5"/>
      <c r="F119" s="5"/>
      <c r="G119" s="5"/>
    </row>
    <row r="120" spans="1:7" ht="14.25" customHeight="1">
      <c r="A120" s="5"/>
      <c r="B120" s="5"/>
      <c r="C120" s="5"/>
      <c r="D120" s="5"/>
      <c r="E120" s="5"/>
      <c r="F120" s="5"/>
      <c r="G120" s="5"/>
    </row>
    <row r="121" spans="1:7" ht="14.25" customHeight="1">
      <c r="A121" s="5"/>
      <c r="B121" s="5"/>
      <c r="C121" s="5"/>
      <c r="D121" s="5"/>
      <c r="E121" s="5"/>
      <c r="F121" s="5"/>
      <c r="G121" s="5"/>
    </row>
    <row r="122" spans="1:7" ht="14.25" customHeight="1">
      <c r="A122" s="5"/>
      <c r="B122" s="5"/>
      <c r="C122" s="5"/>
      <c r="D122" s="5"/>
      <c r="E122" s="5"/>
      <c r="F122" s="5"/>
      <c r="G122" s="5"/>
    </row>
    <row r="123" spans="1:7" ht="14.25">
      <c r="A123" s="5"/>
      <c r="B123" s="5"/>
      <c r="C123" s="5"/>
      <c r="D123" s="5"/>
      <c r="E123" s="5"/>
      <c r="F123" s="5"/>
      <c r="G123" s="5"/>
    </row>
    <row r="124" spans="1:7" ht="14.25">
      <c r="A124" s="5"/>
      <c r="B124" s="5"/>
      <c r="C124" s="5"/>
      <c r="D124" s="5"/>
      <c r="E124" s="5"/>
      <c r="F124" s="5"/>
      <c r="G124" s="5"/>
    </row>
    <row r="125" spans="1:7" ht="14.25">
      <c r="A125" s="5"/>
      <c r="B125" s="5"/>
      <c r="C125" s="5"/>
      <c r="D125" s="5"/>
      <c r="E125" s="5"/>
      <c r="F125" s="5"/>
      <c r="G125" s="5"/>
    </row>
    <row r="126" spans="1:7" ht="14.25">
      <c r="A126" s="5"/>
      <c r="B126" s="5"/>
      <c r="C126" s="5"/>
      <c r="D126" s="5"/>
      <c r="E126" s="5"/>
      <c r="F126" s="5"/>
      <c r="G126" s="5"/>
    </row>
    <row r="127" spans="1:7" ht="14.25">
      <c r="A127" s="5"/>
      <c r="B127" s="5"/>
      <c r="C127" s="5"/>
      <c r="D127" s="5"/>
      <c r="E127" s="5"/>
      <c r="F127" s="5"/>
      <c r="G127" s="5"/>
    </row>
    <row r="128" spans="1:7" ht="14.25">
      <c r="A128" s="5"/>
      <c r="D128" s="5"/>
      <c r="E128" s="5"/>
      <c r="F128" s="5"/>
      <c r="G128" s="5"/>
    </row>
  </sheetData>
  <sheetProtection password="E765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H1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30.7109375" style="1" customWidth="1"/>
    <col min="2" max="16384" width="9.140625" style="1" customWidth="1"/>
  </cols>
  <sheetData>
    <row r="1" ht="15">
      <c r="A1" s="2" t="s">
        <v>107</v>
      </c>
    </row>
    <row r="2" ht="14.25">
      <c r="A2" s="1" t="s">
        <v>114</v>
      </c>
    </row>
    <row r="4" ht="15">
      <c r="A4" s="2"/>
    </row>
    <row r="5" spans="1:8" ht="71.25">
      <c r="A5" s="17"/>
      <c r="B5" s="28" t="s">
        <v>0</v>
      </c>
      <c r="C5" s="28" t="s">
        <v>91</v>
      </c>
      <c r="D5" s="28" t="s">
        <v>108</v>
      </c>
      <c r="E5" s="28" t="s">
        <v>109</v>
      </c>
      <c r="F5" s="28" t="s">
        <v>110</v>
      </c>
      <c r="G5" s="28" t="s">
        <v>111</v>
      </c>
      <c r="H5" s="28" t="s">
        <v>92</v>
      </c>
    </row>
    <row r="6" spans="1:8" ht="14.25">
      <c r="A6" s="13" t="s">
        <v>93</v>
      </c>
      <c r="B6" s="25" t="s">
        <v>94</v>
      </c>
      <c r="C6" s="25">
        <v>24.6</v>
      </c>
      <c r="D6" s="29">
        <v>0.9</v>
      </c>
      <c r="E6" s="29">
        <v>0.85</v>
      </c>
      <c r="F6" s="29">
        <v>0.39</v>
      </c>
      <c r="G6" s="29">
        <v>0.85</v>
      </c>
      <c r="H6" s="23" t="s">
        <v>95</v>
      </c>
    </row>
    <row r="7" spans="1:8" ht="16.5">
      <c r="A7" s="13" t="s">
        <v>96</v>
      </c>
      <c r="B7" s="25" t="s">
        <v>104</v>
      </c>
      <c r="C7" s="26">
        <v>36</v>
      </c>
      <c r="D7" s="29">
        <v>0.91</v>
      </c>
      <c r="E7" s="29">
        <v>0.88</v>
      </c>
      <c r="F7" s="29">
        <v>0.39</v>
      </c>
      <c r="G7" s="29">
        <v>0.86</v>
      </c>
      <c r="H7" s="21"/>
    </row>
    <row r="8" spans="1:8" ht="14.25">
      <c r="A8" s="13" t="s">
        <v>112</v>
      </c>
      <c r="B8" s="25" t="s">
        <v>94</v>
      </c>
      <c r="C8" s="25">
        <v>46.2</v>
      </c>
      <c r="D8" s="29">
        <v>0.91</v>
      </c>
      <c r="E8" s="29">
        <v>0.88</v>
      </c>
      <c r="F8" s="29">
        <v>0.39</v>
      </c>
      <c r="G8" s="29">
        <v>0.86</v>
      </c>
      <c r="H8" s="21" t="s">
        <v>172</v>
      </c>
    </row>
    <row r="9" spans="1:8" ht="14.25">
      <c r="A9" s="13" t="s">
        <v>132</v>
      </c>
      <c r="B9" s="25" t="s">
        <v>94</v>
      </c>
      <c r="C9" s="25">
        <v>42.7</v>
      </c>
      <c r="D9" s="29">
        <v>0.88</v>
      </c>
      <c r="E9" s="29">
        <v>0.82</v>
      </c>
      <c r="F9" s="29">
        <v>0.3</v>
      </c>
      <c r="G9" s="29">
        <v>0.76</v>
      </c>
      <c r="H9" s="24"/>
    </row>
    <row r="10" spans="1:8" ht="14.25">
      <c r="A10" s="13" t="s">
        <v>133</v>
      </c>
      <c r="B10" s="25" t="s">
        <v>94</v>
      </c>
      <c r="C10" s="25">
        <v>41.1</v>
      </c>
      <c r="D10" s="29">
        <v>0.88</v>
      </c>
      <c r="E10" s="29">
        <v>0.82</v>
      </c>
      <c r="F10" s="29">
        <v>0.3</v>
      </c>
      <c r="G10" s="29">
        <v>0.76</v>
      </c>
      <c r="H10" s="24"/>
    </row>
    <row r="11" spans="1:8" ht="14.25">
      <c r="A11" s="13" t="s">
        <v>97</v>
      </c>
      <c r="B11" s="25" t="s">
        <v>94</v>
      </c>
      <c r="C11" s="25">
        <v>10.1</v>
      </c>
      <c r="D11" s="29">
        <v>0.86</v>
      </c>
      <c r="E11" s="29">
        <v>0.83</v>
      </c>
      <c r="F11" s="29">
        <v>0.37</v>
      </c>
      <c r="G11" s="29">
        <v>0.82</v>
      </c>
      <c r="H11" s="24" t="s">
        <v>98</v>
      </c>
    </row>
    <row r="12" spans="1:8" ht="14.25">
      <c r="A12" s="13" t="s">
        <v>99</v>
      </c>
      <c r="B12" s="25"/>
      <c r="C12" s="25"/>
      <c r="D12" s="29">
        <v>0.74</v>
      </c>
      <c r="E12" s="29">
        <v>0.67</v>
      </c>
      <c r="F12" s="29">
        <v>0.28</v>
      </c>
      <c r="G12" s="29">
        <v>0.73</v>
      </c>
      <c r="H12" s="21"/>
    </row>
    <row r="13" spans="1:8" ht="14.25">
      <c r="A13" s="13" t="s">
        <v>100</v>
      </c>
      <c r="B13" s="25" t="s">
        <v>94</v>
      </c>
      <c r="C13" s="26">
        <v>9</v>
      </c>
      <c r="D13" s="29">
        <v>0.86</v>
      </c>
      <c r="E13" s="29">
        <v>0.82</v>
      </c>
      <c r="F13" s="29">
        <v>0.33</v>
      </c>
      <c r="G13" s="29">
        <v>0.79</v>
      </c>
      <c r="H13" s="24" t="s">
        <v>101</v>
      </c>
    </row>
    <row r="14" spans="1:8" ht="16.5">
      <c r="A14" s="13" t="s">
        <v>102</v>
      </c>
      <c r="B14" s="25" t="s">
        <v>104</v>
      </c>
      <c r="C14" s="26">
        <v>20</v>
      </c>
      <c r="D14" s="29">
        <v>0.86</v>
      </c>
      <c r="E14" s="29">
        <v>0.8</v>
      </c>
      <c r="F14" s="29">
        <v>0.36</v>
      </c>
      <c r="G14" s="29">
        <v>0.78</v>
      </c>
      <c r="H14" s="24" t="s">
        <v>103</v>
      </c>
    </row>
    <row r="15" spans="1:8" ht="14.25">
      <c r="A15" s="30" t="s">
        <v>113</v>
      </c>
      <c r="B15" s="31"/>
      <c r="C15" s="31"/>
      <c r="D15" s="32">
        <v>1.04</v>
      </c>
      <c r="E15" s="32">
        <v>0.8</v>
      </c>
      <c r="F15" s="32">
        <v>0.19</v>
      </c>
      <c r="G15" s="32">
        <v>0.8</v>
      </c>
      <c r="H15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N334"/>
  <sheetViews>
    <sheetView zoomScalePageLayoutView="0" workbookViewId="0" topLeftCell="A215">
      <selection activeCell="G243" sqref="G243"/>
    </sheetView>
  </sheetViews>
  <sheetFormatPr defaultColWidth="9.140625" defaultRowHeight="15"/>
  <cols>
    <col min="1" max="1" width="45.7109375" style="1" customWidth="1"/>
    <col min="2" max="10" width="15.7109375" style="1" customWidth="1"/>
    <col min="11" max="16384" width="9.140625" style="1" customWidth="1"/>
  </cols>
  <sheetData>
    <row r="1" spans="1:13" ht="15">
      <c r="A1" s="27" t="s">
        <v>238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2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27" t="s">
        <v>105</v>
      </c>
      <c r="B3" s="16"/>
      <c r="C3" s="16"/>
      <c r="D3" s="16"/>
      <c r="E3" s="16"/>
      <c r="F3" s="16"/>
      <c r="G3" s="16"/>
      <c r="H3" s="16" t="s">
        <v>345</v>
      </c>
      <c r="I3" s="16"/>
      <c r="J3" s="16"/>
      <c r="K3" s="16"/>
      <c r="L3" s="16"/>
      <c r="M3" s="16"/>
    </row>
    <row r="4" spans="1:13" ht="14.25">
      <c r="A4" s="16" t="s">
        <v>214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230" t="s">
        <v>168</v>
      </c>
      <c r="B5" s="231"/>
      <c r="C5" s="231"/>
      <c r="D5" s="231"/>
      <c r="E5" s="231"/>
      <c r="F5" s="232"/>
      <c r="G5" s="16"/>
      <c r="H5" s="16"/>
      <c r="I5" s="16"/>
      <c r="J5" s="16"/>
      <c r="K5" s="16"/>
      <c r="L5" s="16"/>
      <c r="M5" s="16"/>
    </row>
    <row r="6" spans="1:6" ht="28.5">
      <c r="A6" s="41" t="s">
        <v>167</v>
      </c>
      <c r="B6" s="41" t="s">
        <v>0</v>
      </c>
      <c r="C6" s="39" t="s">
        <v>163</v>
      </c>
      <c r="D6" s="39" t="s">
        <v>164</v>
      </c>
      <c r="E6" s="39" t="s">
        <v>165</v>
      </c>
      <c r="F6" s="39" t="s">
        <v>166</v>
      </c>
    </row>
    <row r="7" spans="1:6" ht="14.25">
      <c r="A7" s="3" t="s">
        <v>130</v>
      </c>
      <c r="B7" s="41" t="s">
        <v>3</v>
      </c>
      <c r="C7" s="110">
        <v>2.4117399876123145</v>
      </c>
      <c r="D7" s="110">
        <v>4.949580522694231E-05</v>
      </c>
      <c r="E7" s="111">
        <v>0.005209350745488471</v>
      </c>
      <c r="F7" s="112">
        <f>Ekvivalenttikertoimet!$B$6*Päästökertoimet!C7+Ekvivalenttikertoimet!$C$6*Päästökertoimet!D7+Ekvivalenttikertoimet!$D$6*Päästökertoimet!E7</f>
        <v>2.556723506207155</v>
      </c>
    </row>
    <row r="8" spans="1:6" ht="14.25" customHeight="1">
      <c r="A8" s="3" t="s">
        <v>131</v>
      </c>
      <c r="B8" s="41" t="s">
        <v>3</v>
      </c>
      <c r="C8" s="110">
        <v>2.4098919103065732</v>
      </c>
      <c r="D8" s="110">
        <v>0.00024647073758781314</v>
      </c>
      <c r="E8" s="111">
        <v>0.005209455066693782</v>
      </c>
      <c r="F8" s="112">
        <f>Ekvivalenttikertoimet!$B$6*Päästökertoimet!C8+Ekvivalenttikertoimet!$C$6*Päästökertoimet!D8+Ekvivalenttikertoimet!$D$6*Päästökertoimet!E8</f>
        <v>2.613576566775086</v>
      </c>
    </row>
    <row r="9" spans="1:6" ht="14.25" customHeight="1">
      <c r="A9" s="3" t="s">
        <v>120</v>
      </c>
      <c r="B9" s="41" t="s">
        <v>4</v>
      </c>
      <c r="C9" s="110">
        <v>2.2826701243406258</v>
      </c>
      <c r="D9" s="110">
        <v>3.496078866766085E-05</v>
      </c>
      <c r="E9" s="111">
        <v>0.012795040788667661</v>
      </c>
      <c r="F9" s="112">
        <f>Ekvivalenttikertoimet!$B$6*Päästökertoimet!C9+Ekvivalenttikertoimet!$C$6*Päästökertoimet!D9+Ekvivalenttikertoimet!$D$6*Päästökertoimet!E9</f>
        <v>2.6129644590802803</v>
      </c>
    </row>
    <row r="10" spans="1:6" ht="14.25">
      <c r="A10" s="3" t="s">
        <v>121</v>
      </c>
      <c r="B10" s="41" t="s">
        <v>4</v>
      </c>
      <c r="C10" s="110">
        <v>2.2434047992648227</v>
      </c>
      <c r="D10" s="110">
        <v>3.6004455516018496E-05</v>
      </c>
      <c r="E10" s="111">
        <v>0.012796084455516017</v>
      </c>
      <c r="F10" s="112">
        <f>Ekvivalenttikertoimet!$B$6*Päästökertoimet!C10+Ekvivalenttikertoimet!$C$6*Päästökertoimet!D10+Ekvivalenttikertoimet!$D$6*Päästökertoimet!E10</f>
        <v>2.5740362383964968</v>
      </c>
    </row>
    <row r="11" spans="1:7" ht="14.25">
      <c r="A11" s="3" t="s">
        <v>116</v>
      </c>
      <c r="B11" s="41" t="s">
        <v>3</v>
      </c>
      <c r="C11" s="110">
        <f>C13*'Lämpöarvot&amp;hyötysuhteet'!$C$9/'Lämpöarvot&amp;hyötysuhteet'!$C$10</f>
        <v>3.4938562890665446</v>
      </c>
      <c r="D11" s="110">
        <f>D13*'Lämpöarvot&amp;hyötysuhteet'!$C$9/'Lämpöarvot&amp;hyötysuhteet'!$C$10</f>
        <v>8.820877585991324E-05</v>
      </c>
      <c r="E11" s="110">
        <f>E13*'Lämpöarvot&amp;hyötysuhteet'!$C$9/'Lämpöarvot&amp;hyötysuhteet'!$C$10</f>
        <v>8.820877585991328E-05</v>
      </c>
      <c r="F11" s="112">
        <f>Ekvivalenttikertoimet!$B$6*Päästökertoimet!C11+Ekvivalenttikertoimet!$C$6*Päästökertoimet!D11+Ekvivalenttikertoimet!$D$6*Päästökertoimet!E11</f>
        <v>3.5223477236692964</v>
      </c>
      <c r="G11" s="35"/>
    </row>
    <row r="12" spans="1:6" ht="14.25">
      <c r="A12" s="3" t="s">
        <v>117</v>
      </c>
      <c r="B12" s="41" t="s">
        <v>3</v>
      </c>
      <c r="C12" s="110">
        <f>C14*'Lämpöarvot&amp;hyötysuhteet'!$C$9/'Lämpöarvot&amp;hyötysuhteet'!$C$10</f>
        <v>3.541338929424766</v>
      </c>
      <c r="D12" s="110">
        <f>D14*'Lämpöarvot&amp;hyötysuhteet'!$C$9/'Lämpöarvot&amp;hyötysuhteet'!$C$10</f>
        <v>8.913956426423766E-05</v>
      </c>
      <c r="E12" s="110">
        <f>E14*'Lämpöarvot&amp;hyötysuhteet'!$C$9/'Lämpöarvot&amp;hyötysuhteet'!$C$10</f>
        <v>8.913956426423766E-05</v>
      </c>
      <c r="F12" s="112">
        <f>Ekvivalenttikertoimet!$B$6*Päästökertoimet!C12+Ekvivalenttikertoimet!$C$6*Päästökertoimet!D12+Ekvivalenttikertoimet!$D$6*Päästökertoimet!E12</f>
        <v>3.570131008682115</v>
      </c>
    </row>
    <row r="13" spans="1:6" ht="14.25">
      <c r="A13" s="3" t="s">
        <v>118</v>
      </c>
      <c r="B13" s="41" t="s">
        <v>3</v>
      </c>
      <c r="C13" s="110">
        <v>3.36293895739192</v>
      </c>
      <c r="D13" s="110">
        <v>8.490352898928416E-05</v>
      </c>
      <c r="E13" s="110">
        <v>8.49035289892842E-05</v>
      </c>
      <c r="F13" s="112">
        <f>Ekvivalenttikertoimet!$B$6*Päästökertoimet!C13+Ekvivalenttikertoimet!$C$6*Päästökertoimet!D13+Ekvivalenttikertoimet!$D$6*Päästökertoimet!E13</f>
        <v>3.3903627972554586</v>
      </c>
    </row>
    <row r="14" spans="1:6" ht="14.25">
      <c r="A14" s="3" t="s">
        <v>119</v>
      </c>
      <c r="B14" s="41" t="s">
        <v>3</v>
      </c>
      <c r="C14" s="110">
        <v>3.4086423887437443</v>
      </c>
      <c r="D14" s="110">
        <v>8.579944007635053E-05</v>
      </c>
      <c r="E14" s="110">
        <v>8.579944007635053E-05</v>
      </c>
      <c r="F14" s="112">
        <f>Ekvivalenttikertoimet!$B$6*Päästökertoimet!C14+Ekvivalenttikertoimet!$C$6*Päästökertoimet!D14+Ekvivalenttikertoimet!$D$6*Päästökertoimet!E14</f>
        <v>3.4363556078884057</v>
      </c>
    </row>
    <row r="15" spans="1:13" ht="14.25">
      <c r="A15" s="3" t="s">
        <v>124</v>
      </c>
      <c r="B15" s="41" t="s">
        <v>3</v>
      </c>
      <c r="C15" s="110">
        <v>1.1249816059141402</v>
      </c>
      <c r="D15" s="110">
        <v>3.4100664823490695E-05</v>
      </c>
      <c r="E15" s="110">
        <v>0.0001643906648234907</v>
      </c>
      <c r="F15" s="112">
        <f>Ekvivalenttikertoimet!$B$6*Päästökertoimet!C15+Ekvivalenttikertoimet!$C$6*Päästökertoimet!D15+Ekvivalenttikertoimet!$D$6*Päästökertoimet!E15</f>
        <v>1.1392533706521277</v>
      </c>
      <c r="G15" s="16"/>
      <c r="H15" s="16"/>
      <c r="I15" s="16"/>
      <c r="J15" s="16"/>
      <c r="K15" s="16"/>
      <c r="L15" s="16"/>
      <c r="M15" s="16"/>
    </row>
    <row r="16" spans="1:13" ht="14.25">
      <c r="A16" s="3" t="s">
        <v>125</v>
      </c>
      <c r="B16" s="41" t="s">
        <v>3</v>
      </c>
      <c r="C16" s="110">
        <v>1.116956482570493</v>
      </c>
      <c r="D16" s="110">
        <v>3.434441920859254E-05</v>
      </c>
      <c r="E16" s="110">
        <v>0.00016463441920859255</v>
      </c>
      <c r="F16" s="112">
        <f>Ekvivalenttikertoimet!$B$6*Päästökertoimet!C16+Ekvivalenttikertoimet!$C$6*Päästökertoimet!D16+Ekvivalenttikertoimet!$D$6*Päästökertoimet!E16</f>
        <v>1.1313069799748683</v>
      </c>
      <c r="G16" s="16"/>
      <c r="H16" s="16"/>
      <c r="I16" s="16"/>
      <c r="J16" s="16"/>
      <c r="K16" s="16"/>
      <c r="L16" s="16"/>
      <c r="M16" s="16"/>
    </row>
    <row r="17" spans="1:13" ht="14.25">
      <c r="A17" s="3" t="s">
        <v>135</v>
      </c>
      <c r="B17" s="41" t="s">
        <v>3</v>
      </c>
      <c r="C17" s="110">
        <v>3.7510751952848014</v>
      </c>
      <c r="D17" s="110">
        <v>7.43127099337015E-05</v>
      </c>
      <c r="E17" s="110">
        <v>0.0052586591152337025</v>
      </c>
      <c r="F17" s="112">
        <f>Ekvivalenttikertoimet!$B$6*Päästökertoimet!C17+Ekvivalenttikertoimet!$C$6*Päästökertoimet!D17+Ekvivalenttikertoimet!$D$6*Päästökertoimet!E17</f>
        <v>3.904686860725887</v>
      </c>
      <c r="G17" s="16"/>
      <c r="H17" s="16"/>
      <c r="I17" s="16"/>
      <c r="J17" s="16"/>
      <c r="K17" s="16"/>
      <c r="L17" s="16"/>
      <c r="M17" s="16"/>
    </row>
    <row r="18" spans="1:13" ht="14.25">
      <c r="A18" s="3" t="s">
        <v>138</v>
      </c>
      <c r="B18" s="41" t="s">
        <v>3</v>
      </c>
      <c r="C18" s="110">
        <v>3.7554355429706288</v>
      </c>
      <c r="D18" s="110">
        <v>7.417885352421671E-05</v>
      </c>
      <c r="E18" s="110">
        <v>0.005258525258824218</v>
      </c>
      <c r="F18" s="112">
        <f>Ekvivalenttikertoimet!$B$6*Päästökertoimet!C18+Ekvivalenttikertoimet!$C$6*Päästökertoimet!D18+Ekvivalenttikertoimet!$D$6*Päästökertoimet!E18</f>
        <v>3.909003972791451</v>
      </c>
      <c r="G18" s="16"/>
      <c r="H18" s="16"/>
      <c r="I18" s="16"/>
      <c r="J18" s="16"/>
      <c r="K18" s="16"/>
      <c r="L18" s="16"/>
      <c r="M18" s="16"/>
    </row>
    <row r="19" spans="1:13" ht="14.25">
      <c r="A19" s="3" t="s">
        <v>126</v>
      </c>
      <c r="B19" s="41" t="s">
        <v>3</v>
      </c>
      <c r="C19" s="110">
        <v>0.03153181732761781</v>
      </c>
      <c r="D19" s="110">
        <v>1.808276177088348E-05</v>
      </c>
      <c r="E19" s="110">
        <v>7.429914265632523E-05</v>
      </c>
      <c r="F19" s="112">
        <f>Ekvivalenttikertoimet!$B$6*Päästökertoimet!C19+Ekvivalenttikertoimet!$C$6*Päästökertoimet!D19+Ekvivalenttikertoimet!$D$6*Päästökertoimet!E19</f>
        <v>0.03877795890174922</v>
      </c>
      <c r="G19" s="16"/>
      <c r="H19" s="16"/>
      <c r="I19" s="16"/>
      <c r="J19" s="16"/>
      <c r="K19" s="16"/>
      <c r="L19" s="16"/>
      <c r="M19" s="16"/>
    </row>
    <row r="20" spans="1:13" ht="14.25">
      <c r="A20" s="3" t="s">
        <v>127</v>
      </c>
      <c r="B20" s="41" t="s">
        <v>3</v>
      </c>
      <c r="C20" s="110">
        <v>0.03267142423498916</v>
      </c>
      <c r="D20" s="110">
        <v>1.8013989063069854E-05</v>
      </c>
      <c r="E20" s="110">
        <v>7.419598359460478E-05</v>
      </c>
      <c r="F20" s="112">
        <f>Ekvivalenttikertoimet!$B$6*Päästökertoimet!C20+Ekvivalenttikertoimet!$C$6*Päästökertoimet!D20+Ekvivalenttikertoimet!$D$6*Päästökertoimet!E20</f>
        <v>0.039894492565649094</v>
      </c>
      <c r="G20" s="16"/>
      <c r="H20" s="16"/>
      <c r="I20" s="16"/>
      <c r="J20" s="16"/>
      <c r="K20" s="16"/>
      <c r="L20" s="16"/>
      <c r="M20" s="16"/>
    </row>
    <row r="21" spans="1:13" ht="14.25">
      <c r="A21" s="3" t="s">
        <v>128</v>
      </c>
      <c r="B21" s="41" t="s">
        <v>4</v>
      </c>
      <c r="C21" s="110">
        <v>0.2817898397371762</v>
      </c>
      <c r="D21" s="110">
        <v>3.9890945524647624E-05</v>
      </c>
      <c r="E21" s="110">
        <v>0.0007303643783006525</v>
      </c>
      <c r="F21" s="112">
        <f>Ekvivalenttikertoimet!$B$6*Päästökertoimet!C21+Ekvivalenttikertoimet!$C$6*Päästökertoimet!D21+Ekvivalenttikertoimet!$D$6*Päästökertoimet!E21</f>
        <v>0.3119364509610375</v>
      </c>
      <c r="G21" s="16"/>
      <c r="H21" s="16"/>
      <c r="I21" s="16"/>
      <c r="J21" s="16"/>
      <c r="K21" s="16"/>
      <c r="L21" s="16"/>
      <c r="M21" s="16"/>
    </row>
    <row r="22" spans="1:13" ht="14.25">
      <c r="A22" s="3" t="s">
        <v>129</v>
      </c>
      <c r="B22" s="41" t="s">
        <v>4</v>
      </c>
      <c r="C22" s="110">
        <v>0.284155347477486</v>
      </c>
      <c r="D22" s="110">
        <v>4.0104937047864725E-05</v>
      </c>
      <c r="E22" s="110">
        <v>0.0007306853655854782</v>
      </c>
      <c r="F22" s="112">
        <f>Ekvivalenttikertoimet!$B$6*Päästökertoimet!C22+Ekvivalenttikertoimet!$C$6*Päästökertoimet!D22+Ekvivalenttikertoimet!$D$6*Päästökertoimet!E22</f>
        <v>0.3143737528573866</v>
      </c>
      <c r="G22" s="16"/>
      <c r="H22" s="16"/>
      <c r="I22" s="16"/>
      <c r="J22" s="16"/>
      <c r="K22" s="16"/>
      <c r="L22" s="16"/>
      <c r="M22" s="16"/>
    </row>
    <row r="23" spans="1:13" ht="14.25">
      <c r="A23" s="3" t="s">
        <v>180</v>
      </c>
      <c r="B23" s="41" t="s">
        <v>170</v>
      </c>
      <c r="C23" s="110">
        <v>0.0045156</v>
      </c>
      <c r="D23" s="110">
        <v>7.612599999999999E-08</v>
      </c>
      <c r="E23" s="110">
        <v>6.8979E-07</v>
      </c>
      <c r="F23" s="112">
        <f>Ekvivalenttikertoimet!$B$6*Päästökertoimet!C23+Ekvivalenttikertoimet!$C$6*Päästökertoimet!D23+Ekvivalenttikertoimet!$D$6*Päästökertoimet!E23</f>
        <v>0.004555530298</v>
      </c>
      <c r="G23" s="16"/>
      <c r="H23" s="16"/>
      <c r="I23" s="16"/>
      <c r="J23" s="16"/>
      <c r="K23" s="16"/>
      <c r="L23" s="16"/>
      <c r="M23" s="16"/>
    </row>
    <row r="24" spans="1:13" ht="14.25">
      <c r="A24" s="3" t="s">
        <v>181</v>
      </c>
      <c r="B24" s="41" t="s">
        <v>170</v>
      </c>
      <c r="C24" s="110">
        <v>0.007992</v>
      </c>
      <c r="D24" s="110">
        <v>3.53E-08</v>
      </c>
      <c r="E24" s="110">
        <v>1.7E-05</v>
      </c>
      <c r="F24" s="112">
        <f>Ekvivalenttikertoimet!$B$6*Päästökertoimet!C24+Ekvivalenttikertoimet!$C$6*Päästökertoimet!D24+Ekvivalenttikertoimet!$D$6*Päästökertoimet!E24</f>
        <v>0.008427519400000002</v>
      </c>
      <c r="G24" s="16"/>
      <c r="H24" s="16"/>
      <c r="I24" s="16"/>
      <c r="J24" s="16"/>
      <c r="K24" s="16"/>
      <c r="L24" s="16"/>
      <c r="M24" s="16"/>
    </row>
    <row r="25" spans="1:13" ht="14.25">
      <c r="A25" s="3" t="s">
        <v>182</v>
      </c>
      <c r="B25" s="41" t="s">
        <v>170</v>
      </c>
      <c r="C25" s="110">
        <v>0.07908</v>
      </c>
      <c r="D25" s="110">
        <v>0</v>
      </c>
      <c r="E25" s="110">
        <v>0.0001848</v>
      </c>
      <c r="F25" s="112">
        <f>Ekvivalenttikertoimet!$B$6*Päästökertoimet!C25+Ekvivalenttikertoimet!$C$6*Päästökertoimet!D25+Ekvivalenttikertoimet!$D$6*Päästökertoimet!E25</f>
        <v>0.0837</v>
      </c>
      <c r="G25" s="16"/>
      <c r="H25" s="16"/>
      <c r="I25" s="16"/>
      <c r="J25" s="16"/>
      <c r="K25" s="16"/>
      <c r="L25" s="16"/>
      <c r="M25" s="16"/>
    </row>
    <row r="26" spans="1:13" ht="14.25">
      <c r="A26" s="3" t="s">
        <v>150</v>
      </c>
      <c r="B26" s="41" t="s">
        <v>3</v>
      </c>
      <c r="C26" s="110">
        <v>0.10524179393471407</v>
      </c>
      <c r="D26" s="110">
        <v>5.128751500000001E-07</v>
      </c>
      <c r="E26" s="110">
        <v>0.00518485928045</v>
      </c>
      <c r="F26" s="112">
        <f>Ekvivalenttikertoimet!$B$6*Päästökertoimet!C26+Ekvivalenttikertoimet!$C$6*Päästökertoimet!D26+Ekvivalenttikertoimet!$D$6*Päästökertoimet!E26</f>
        <v>0.23501611274066408</v>
      </c>
      <c r="G26" s="16"/>
      <c r="H26" s="16"/>
      <c r="I26" s="16"/>
      <c r="J26" s="16"/>
      <c r="K26" s="16"/>
      <c r="L26" s="16"/>
      <c r="M26" s="16"/>
    </row>
    <row r="27" spans="1:13" ht="14.25">
      <c r="A27" s="3" t="s">
        <v>151</v>
      </c>
      <c r="B27" s="41" t="s">
        <v>3</v>
      </c>
      <c r="C27" s="110">
        <v>0.12035861030742892</v>
      </c>
      <c r="D27" s="110">
        <v>5.128751500000001E-07</v>
      </c>
      <c r="E27" s="110">
        <v>0.00518485928045</v>
      </c>
      <c r="F27" s="112">
        <f>Ekvivalenttikertoimet!$B$6*Päästökertoimet!C27+Ekvivalenttikertoimet!$C$6*Päästökertoimet!D27+Ekvivalenttikertoimet!$D$6*Päästökertoimet!E27</f>
        <v>0.2501329291133789</v>
      </c>
      <c r="G27" s="16"/>
      <c r="H27" s="16"/>
      <c r="I27" s="16"/>
      <c r="J27" s="16"/>
      <c r="K27" s="16"/>
      <c r="L27" s="16"/>
      <c r="M27" s="16"/>
    </row>
    <row r="28" spans="1:13" ht="1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4.25">
      <c r="A29" s="230" t="s">
        <v>7</v>
      </c>
      <c r="B29" s="231"/>
      <c r="C29" s="231"/>
      <c r="D29" s="231"/>
      <c r="E29" s="231"/>
      <c r="F29" s="232"/>
      <c r="G29" s="17" t="s">
        <v>169</v>
      </c>
      <c r="H29" s="16"/>
      <c r="I29" s="16"/>
      <c r="J29" s="16"/>
      <c r="K29" s="16"/>
      <c r="L29" s="16"/>
      <c r="M29" s="16"/>
    </row>
    <row r="30" spans="1:13" ht="28.5">
      <c r="A30" s="41" t="s">
        <v>167</v>
      </c>
      <c r="B30" s="41" t="s">
        <v>0</v>
      </c>
      <c r="C30" s="39" t="s">
        <v>163</v>
      </c>
      <c r="D30" s="39" t="s">
        <v>164</v>
      </c>
      <c r="E30" s="39" t="s">
        <v>165</v>
      </c>
      <c r="F30" s="39" t="s">
        <v>166</v>
      </c>
      <c r="G30" s="16"/>
      <c r="H30" s="16"/>
      <c r="I30" s="16"/>
      <c r="J30" s="16"/>
      <c r="K30" s="16"/>
      <c r="L30" s="16"/>
      <c r="M30" s="16"/>
    </row>
    <row r="31" spans="1:13" ht="14.25">
      <c r="A31" s="3" t="s">
        <v>144</v>
      </c>
      <c r="B31" s="41" t="s">
        <v>170</v>
      </c>
      <c r="C31" s="55">
        <v>61.35708197845486</v>
      </c>
      <c r="D31" s="55">
        <v>0.0010812338263130243</v>
      </c>
      <c r="E31" s="55">
        <v>1.5013466757021419</v>
      </c>
      <c r="F31" s="43">
        <f>Ekvivalenttikertoimet!$B$6*Päästökertoimet!C31+Ekvivalenttikertoimet!$C$6*Päästökertoimet!D31+Ekvivalenttikertoimet!$D$6*Päästökertoimet!E31</f>
        <v>99.21295655124969</v>
      </c>
      <c r="G31" s="16"/>
      <c r="H31" s="16"/>
      <c r="I31" s="16"/>
      <c r="J31" s="16"/>
      <c r="K31" s="16"/>
      <c r="L31" s="16"/>
      <c r="M31" s="16"/>
    </row>
    <row r="32" spans="1:13" ht="14.25">
      <c r="A32" s="3" t="s">
        <v>145</v>
      </c>
      <c r="B32" s="41" t="s">
        <v>170</v>
      </c>
      <c r="C32" s="55">
        <v>12.427191292421446</v>
      </c>
      <c r="D32" s="55">
        <v>0.00384454119463038</v>
      </c>
      <c r="E32" s="55">
        <v>0.023194520291680516</v>
      </c>
      <c r="F32" s="43">
        <f>Ekvivalenttikertoimet!$B$6*Päästökertoimet!C32+Ekvivalenttikertoimet!$C$6*Päästökertoimet!D32+Ekvivalenttikertoimet!$D$6*Päästökertoimet!E32</f>
        <v>14.152727575713312</v>
      </c>
      <c r="G32" s="16"/>
      <c r="H32" s="16"/>
      <c r="I32" s="16"/>
      <c r="J32" s="16"/>
      <c r="K32" s="16"/>
      <c r="L32" s="16"/>
      <c r="M32" s="16"/>
    </row>
    <row r="33" spans="1:13" ht="14.25">
      <c r="A33" s="3" t="s">
        <v>147</v>
      </c>
      <c r="B33" s="41" t="s">
        <v>170</v>
      </c>
      <c r="C33" s="55">
        <v>60.69389714664521</v>
      </c>
      <c r="D33" s="55">
        <v>0.0011887702556748038</v>
      </c>
      <c r="E33" s="55">
        <v>1.6018075357567718</v>
      </c>
      <c r="F33" s="43">
        <f>Ekvivalenttikertoimet!$B$6*Päästökertoimet!C33+Ekvivalenttikertoimet!$C$6*Päästökertoimet!D33+Ekvivalenttikertoimet!$D$6*Päästökertoimet!E33</f>
        <v>101.0933390767556</v>
      </c>
      <c r="G33" s="16"/>
      <c r="H33" s="16"/>
      <c r="I33" s="16"/>
      <c r="J33" s="16"/>
      <c r="K33" s="16"/>
      <c r="L33" s="16"/>
      <c r="M33" s="16"/>
    </row>
    <row r="34" spans="1:13" ht="14.25">
      <c r="A34" s="3" t="s">
        <v>1</v>
      </c>
      <c r="B34" s="41" t="s">
        <v>170</v>
      </c>
      <c r="C34" s="55">
        <v>55.341996546139455</v>
      </c>
      <c r="D34" s="55">
        <v>0.00020058043508474997</v>
      </c>
      <c r="E34" s="55">
        <v>1.9179048760740829</v>
      </c>
      <c r="F34" s="43">
        <f>Ekvivalenttikertoimet!$B$6*Päästökertoimet!C34+Ekvivalenttikertoimet!$C$6*Päästökertoimet!D34+Ekvivalenttikertoimet!$D$6*Päästökertoimet!E34</f>
        <v>103.34939141764679</v>
      </c>
      <c r="G34" s="16"/>
      <c r="H34" s="16"/>
      <c r="I34" s="16"/>
      <c r="J34" s="16"/>
      <c r="K34" s="16"/>
      <c r="L34" s="16"/>
      <c r="M34" s="16"/>
    </row>
    <row r="35" spans="1:13" ht="14.25">
      <c r="A35" s="3" t="s">
        <v>148</v>
      </c>
      <c r="B35" s="3" t="s">
        <v>170</v>
      </c>
      <c r="C35" s="56">
        <v>61.94891956176991</v>
      </c>
      <c r="D35" s="56">
        <v>0.0005342689584058977</v>
      </c>
      <c r="E35" s="56">
        <v>0.0038368596319810246</v>
      </c>
      <c r="F35" s="43">
        <f>Ekvivalenttikertoimet!$B$6*Päästökertoimet!C35+Ekvivalenttikertoimet!$C$6*Päästökertoimet!D35+Ekvivalenttikertoimet!$D$6*Päästökertoimet!E35</f>
        <v>62.20405320217439</v>
      </c>
      <c r="G35" s="16"/>
      <c r="H35" s="16"/>
      <c r="I35" s="16"/>
      <c r="J35" s="16"/>
      <c r="K35" s="16"/>
      <c r="L35" s="16"/>
      <c r="M35" s="16"/>
    </row>
    <row r="36" spans="1:13" ht="14.25">
      <c r="A36" s="3" t="s">
        <v>12</v>
      </c>
      <c r="B36" s="41" t="s">
        <v>170</v>
      </c>
      <c r="C36" s="56">
        <v>73.72071278005967</v>
      </c>
      <c r="D36" s="56">
        <v>0.0034156526540616737</v>
      </c>
      <c r="E36" s="56">
        <v>0.09370824466778037</v>
      </c>
      <c r="F36" s="43">
        <f>Ekvivalenttikertoimet!$B$6*Päästökertoimet!C36+Ekvivalenttikertoimet!$C$6*Päästökertoimet!D36+Ekvivalenttikertoimet!$D$6*Päästökertoimet!E36</f>
        <v>77.08128338766457</v>
      </c>
      <c r="G36" s="16"/>
      <c r="H36" s="16"/>
      <c r="I36" s="16"/>
      <c r="J36" s="16"/>
      <c r="K36" s="16"/>
      <c r="L36" s="16"/>
      <c r="M36" s="16"/>
    </row>
    <row r="37" spans="1:13" ht="14.25">
      <c r="A37" s="3" t="s">
        <v>134</v>
      </c>
      <c r="B37" s="41" t="s">
        <v>170</v>
      </c>
      <c r="C37" s="55">
        <v>108.38222287003123</v>
      </c>
      <c r="D37" s="55">
        <v>0.0014178643360713253</v>
      </c>
      <c r="E37" s="55">
        <v>2.3569274186444367</v>
      </c>
      <c r="F37" s="43">
        <f>Ekvivalenttikertoimet!$B$6*Päästökertoimet!C37+Ekvivalenttikertoimet!$C$6*Päästökertoimet!D37+Ekvivalenttikertoimet!$D$6*Päästökertoimet!E37</f>
        <v>167.7279319082914</v>
      </c>
      <c r="G37" s="16"/>
      <c r="H37" s="16"/>
      <c r="I37" s="16"/>
      <c r="J37" s="16"/>
      <c r="K37" s="16"/>
      <c r="L37" s="16"/>
      <c r="M37" s="16"/>
    </row>
    <row r="38" spans="1:13" ht="14.25">
      <c r="A38" s="3" t="s">
        <v>179</v>
      </c>
      <c r="B38" s="41" t="s">
        <v>170</v>
      </c>
      <c r="C38" s="55">
        <v>4.5595854922279795</v>
      </c>
      <c r="D38" s="55">
        <v>0.00041761658031088083</v>
      </c>
      <c r="E38" s="55">
        <v>0.007046632124352333</v>
      </c>
      <c r="F38" s="43">
        <f>Ekvivalenttikertoimet!$B$6*Päästökertoimet!C38+Ekvivalenttikertoimet!$C$6*Päästökertoimet!D38+Ekvivalenttikertoimet!$D$6*Päästökertoimet!E38</f>
        <v>4.86020103626943</v>
      </c>
      <c r="G38" s="16"/>
      <c r="H38" s="16"/>
      <c r="I38" s="16"/>
      <c r="J38" s="16"/>
      <c r="K38" s="16"/>
      <c r="L38" s="16"/>
      <c r="M38" s="16"/>
    </row>
    <row r="39" spans="1:13" ht="14.25">
      <c r="A39" s="3" t="s">
        <v>2</v>
      </c>
      <c r="B39" s="41" t="s">
        <v>170</v>
      </c>
      <c r="C39" s="55">
        <v>21.007457807148604</v>
      </c>
      <c r="D39" s="55">
        <v>0.00040057742490445136</v>
      </c>
      <c r="E39" s="55">
        <v>0.03283373084108851</v>
      </c>
      <c r="F39" s="43">
        <f>Ekvivalenttikertoimet!$B$6*Päästökertoimet!C39+Ekvivalenttikertoimet!$C$6*Päästökertoimet!D39+Ekvivalenttikertoimet!$D$6*Päästökertoimet!E39</f>
        <v>21.947673150797343</v>
      </c>
      <c r="G39" s="16"/>
      <c r="H39" s="16"/>
      <c r="I39" s="16"/>
      <c r="J39" s="16"/>
      <c r="K39" s="16"/>
      <c r="L39" s="16"/>
      <c r="M39" s="16"/>
    </row>
    <row r="40" spans="1:13" ht="14.25">
      <c r="A40" s="3" t="s">
        <v>180</v>
      </c>
      <c r="B40" s="41" t="s">
        <v>170</v>
      </c>
      <c r="C40" s="55">
        <v>5.819274611398964</v>
      </c>
      <c r="D40" s="55">
        <v>0.00042956304170962414</v>
      </c>
      <c r="E40" s="55">
        <v>0.004030870466321244</v>
      </c>
      <c r="F40" s="43">
        <f>Ekvivalenttikertoimet!$B$6*Päästökertoimet!C40+Ekvivalenttikertoimet!$C$6*Päästökertoimet!D40+Ekvivalenttikertoimet!$D$6*Päästökertoimet!E40</f>
        <v>6.048056159486463</v>
      </c>
      <c r="G40" s="16"/>
      <c r="H40" s="16"/>
      <c r="I40" s="16"/>
      <c r="J40" s="16"/>
      <c r="K40" s="16"/>
      <c r="L40" s="16"/>
      <c r="M40" s="16"/>
    </row>
    <row r="41" spans="1:13" ht="14.25">
      <c r="A41" s="3" t="s">
        <v>181</v>
      </c>
      <c r="B41" s="41" t="s">
        <v>170</v>
      </c>
      <c r="C41" s="55">
        <v>9.42176165803109</v>
      </c>
      <c r="D41" s="55">
        <v>9.235854922279794E-05</v>
      </c>
      <c r="E41" s="55">
        <v>0.021139896373056993</v>
      </c>
      <c r="F41" s="43">
        <f>Ekvivalenttikertoimet!$B$6*Päästökertoimet!C41+Ekvivalenttikertoimet!$C$6*Päästökertoimet!D41+Ekvivalenttikertoimet!$D$6*Päästökertoimet!E41</f>
        <v>9.977781915025908</v>
      </c>
      <c r="G41" s="16"/>
      <c r="H41" s="16"/>
      <c r="I41" s="16"/>
      <c r="J41" s="16"/>
      <c r="K41" s="16"/>
      <c r="L41" s="16"/>
      <c r="M41" s="16"/>
    </row>
    <row r="42" spans="1:13" ht="14.25">
      <c r="A42" s="3" t="s">
        <v>182</v>
      </c>
      <c r="B42" s="41" t="s">
        <v>170</v>
      </c>
      <c r="C42" s="55">
        <v>83.0880829015544</v>
      </c>
      <c r="D42" s="55">
        <v>5.4196891191709846E-05</v>
      </c>
      <c r="E42" s="55">
        <v>0.19481865284974093</v>
      </c>
      <c r="F42" s="43">
        <f>Ekvivalenttikertoimet!$B$6*Päästökertoimet!C42+Ekvivalenttikertoimet!$C$6*Päästökertoimet!D42+Ekvivalenttikertoimet!$D$6*Päästökertoimet!E42</f>
        <v>87.97469989637305</v>
      </c>
      <c r="G42" s="16"/>
      <c r="H42" s="16"/>
      <c r="I42" s="16"/>
      <c r="J42" s="16"/>
      <c r="K42" s="16"/>
      <c r="L42" s="16"/>
      <c r="M42" s="16"/>
    </row>
    <row r="43" spans="1:13" ht="14.25">
      <c r="A43" s="3" t="s">
        <v>149</v>
      </c>
      <c r="B43" s="41" t="s">
        <v>170</v>
      </c>
      <c r="C43" s="55">
        <v>85.27956322543693</v>
      </c>
      <c r="D43" s="55">
        <v>1.3471502590673574E-05</v>
      </c>
      <c r="E43" s="55">
        <v>0.2030955575123093</v>
      </c>
      <c r="F43" s="43">
        <f>Ekvivalenttikertoimet!$B$6*Päästökertoimet!C43+Ekvivalenttikertoimet!$C$6*Päästökertoimet!D43+Ekvivalenttikertoimet!$D$6*Päästökertoimet!E43</f>
        <v>90.36096667101668</v>
      </c>
      <c r="G43" s="16"/>
      <c r="H43" s="16"/>
      <c r="I43" s="16"/>
      <c r="J43" s="16"/>
      <c r="K43" s="16"/>
      <c r="L43" s="16"/>
      <c r="M43" s="16"/>
    </row>
    <row r="44" spans="1:13" ht="14.25">
      <c r="A44" s="3" t="s">
        <v>136</v>
      </c>
      <c r="B44" s="41" t="s">
        <v>170</v>
      </c>
      <c r="C44" s="55">
        <v>45.39474841955112</v>
      </c>
      <c r="D44" s="55">
        <v>0.00021997060575789125</v>
      </c>
      <c r="E44" s="55">
        <v>2.0908977893492424</v>
      </c>
      <c r="F44" s="43">
        <f>Ekvivalenttikertoimet!$B$6*Päästökertoimet!C44+Ekvivalenttikertoimet!$C$6*Päästökertoimet!D44+Ekvivalenttikertoimet!$D$6*Päästökertoimet!E44</f>
        <v>97.73274439379804</v>
      </c>
      <c r="G44" s="16"/>
      <c r="H44" s="16"/>
      <c r="I44" s="16"/>
      <c r="J44" s="16"/>
      <c r="K44" s="16"/>
      <c r="L44" s="16"/>
      <c r="M44" s="16"/>
    </row>
    <row r="45" spans="1:13" ht="15">
      <c r="A45" s="2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4.25">
      <c r="A46" s="58" t="s">
        <v>178</v>
      </c>
      <c r="B46" s="64"/>
      <c r="C46" s="64"/>
      <c r="D46" s="64"/>
      <c r="E46" s="64"/>
      <c r="F46" s="65"/>
      <c r="G46" s="16"/>
      <c r="H46" s="16"/>
      <c r="I46" s="16"/>
      <c r="J46" s="16"/>
      <c r="K46" s="16"/>
      <c r="L46" s="16"/>
      <c r="M46" s="16"/>
    </row>
    <row r="47" spans="1:13" ht="28.5">
      <c r="A47" s="41" t="s">
        <v>167</v>
      </c>
      <c r="B47" s="41" t="s">
        <v>0</v>
      </c>
      <c r="C47" s="39" t="s">
        <v>163</v>
      </c>
      <c r="D47" s="39" t="s">
        <v>164</v>
      </c>
      <c r="E47" s="39" t="s">
        <v>165</v>
      </c>
      <c r="F47" s="39" t="s">
        <v>166</v>
      </c>
      <c r="G47" s="16"/>
      <c r="H47" s="16"/>
      <c r="I47" s="16"/>
      <c r="J47" s="16"/>
      <c r="K47" s="16"/>
      <c r="L47" s="16"/>
      <c r="M47" s="16"/>
    </row>
    <row r="48" spans="1:13" ht="14.25">
      <c r="A48" s="3" t="s">
        <v>178</v>
      </c>
      <c r="B48" s="41" t="s">
        <v>170</v>
      </c>
      <c r="C48" s="55">
        <v>236</v>
      </c>
      <c r="D48" s="55">
        <v>0.00828</v>
      </c>
      <c r="E48" s="55">
        <v>0.612</v>
      </c>
      <c r="F48" s="44">
        <f>Ekvivalenttikertoimet!$B$6*Päästökertoimet!C48+Ekvivalenttikertoimet!$C$6*Päästökertoimet!D48+Ekvivalenttikertoimet!$D$6*Päästökertoimet!E48</f>
        <v>253.76744000000002</v>
      </c>
      <c r="G48" s="16"/>
      <c r="H48" s="16"/>
      <c r="I48" s="16"/>
      <c r="J48" s="16"/>
      <c r="K48" s="16"/>
      <c r="L48" s="16"/>
      <c r="M48" s="16"/>
    </row>
    <row r="49" spans="1:13" ht="14.25">
      <c r="A49" s="62"/>
      <c r="B49" s="16"/>
      <c r="C49" s="63"/>
      <c r="D49" s="63"/>
      <c r="E49" s="63"/>
      <c r="F49" s="19"/>
      <c r="G49" s="16"/>
      <c r="H49" s="16"/>
      <c r="I49" s="16"/>
      <c r="J49" s="16"/>
      <c r="K49" s="16"/>
      <c r="L49" s="16"/>
      <c r="M49" s="16"/>
    </row>
    <row r="50" spans="1:13" ht="15">
      <c r="A50" s="27" t="s">
        <v>106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4.25">
      <c r="A51" s="16" t="s">
        <v>214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4.25">
      <c r="A52" s="66" t="s">
        <v>168</v>
      </c>
      <c r="B52" s="67"/>
      <c r="C52" s="67"/>
      <c r="D52" s="67"/>
      <c r="E52" s="67"/>
      <c r="F52" s="68"/>
      <c r="G52" s="16"/>
      <c r="H52" s="16"/>
      <c r="I52" s="16"/>
      <c r="J52" s="16"/>
      <c r="K52" s="16"/>
      <c r="L52" s="16"/>
      <c r="M52" s="16"/>
    </row>
    <row r="53" spans="1:6" ht="28.5">
      <c r="A53" s="41" t="s">
        <v>167</v>
      </c>
      <c r="B53" s="41" t="s">
        <v>0</v>
      </c>
      <c r="C53" s="39" t="s">
        <v>163</v>
      </c>
      <c r="D53" s="39" t="s">
        <v>164</v>
      </c>
      <c r="E53" s="39" t="s">
        <v>165</v>
      </c>
      <c r="F53" s="39" t="s">
        <v>166</v>
      </c>
    </row>
    <row r="54" spans="1:6" ht="14.25">
      <c r="A54" s="3" t="s">
        <v>130</v>
      </c>
      <c r="B54" s="41" t="s">
        <v>3</v>
      </c>
      <c r="C54" s="108">
        <v>2.4346896781494</v>
      </c>
      <c r="D54" s="108">
        <v>4.971287515000001E-05</v>
      </c>
      <c r="E54" s="108">
        <v>0.005209459280450001</v>
      </c>
      <c r="F54" s="43">
        <f>Ekvivalenttikertoimet!$B$6*Päästökertoimet!C54+Ekvivalenttikertoimet!$C$6*Päästökertoimet!D54+Ekvivalenttikertoimet!$D$6*Päästökertoimet!E54</f>
        <v>2.5797405969553497</v>
      </c>
    </row>
    <row r="55" spans="1:6" ht="14.25">
      <c r="A55" s="3" t="s">
        <v>131</v>
      </c>
      <c r="B55" s="41" t="s">
        <v>3</v>
      </c>
      <c r="C55" s="108">
        <v>2.4103442535789563</v>
      </c>
      <c r="D55" s="108">
        <v>0.00024651287515</v>
      </c>
      <c r="E55" s="108">
        <v>0.0052094592804500005</v>
      </c>
      <c r="F55" s="43">
        <f>Ekvivalenttikertoimet!$B$6*Päästökertoimet!C55+Ekvivalenttikertoimet!$C$6*Päästökertoimet!D55+Ekvivalenttikertoimet!$D$6*Päästökertoimet!E55</f>
        <v>2.6140415723849064</v>
      </c>
    </row>
    <row r="56" spans="1:6" ht="14.25">
      <c r="A56" s="3" t="s">
        <v>120</v>
      </c>
      <c r="B56" s="41" t="s">
        <v>4</v>
      </c>
      <c r="C56" s="108">
        <v>2.357210026792887</v>
      </c>
      <c r="D56" s="108">
        <v>3.5999999999999994E-05</v>
      </c>
      <c r="E56" s="108">
        <v>0.012796080000000001</v>
      </c>
      <c r="F56" s="43">
        <f>Ekvivalenttikertoimet!$B$6*Päästökertoimet!C56+Ekvivalenttikertoimet!$C$6*Päästökertoimet!D56+Ekvivalenttikertoimet!$D$6*Päästökertoimet!E56</f>
        <v>2.6878400267928866</v>
      </c>
    </row>
    <row r="57" spans="1:6" ht="14.25">
      <c r="A57" s="3" t="s">
        <v>121</v>
      </c>
      <c r="B57" s="41" t="s">
        <v>4</v>
      </c>
      <c r="C57" s="108">
        <v>2.243748321787265</v>
      </c>
      <c r="D57" s="108">
        <v>3.5999999999999994E-05</v>
      </c>
      <c r="E57" s="108">
        <v>0.01279608</v>
      </c>
      <c r="F57" s="43">
        <f>Ekvivalenttikertoimet!$B$6*Päästökertoimet!C57+Ekvivalenttikertoimet!$C$6*Päästökertoimet!D57+Ekvivalenttikertoimet!$D$6*Päästökertoimet!E57</f>
        <v>2.5743783217872647</v>
      </c>
    </row>
    <row r="58" spans="1:7" ht="14.25">
      <c r="A58" s="3" t="s">
        <v>122</v>
      </c>
      <c r="B58" s="3" t="s">
        <v>3</v>
      </c>
      <c r="C58" s="109">
        <v>3.3277037974845</v>
      </c>
      <c r="D58" s="108">
        <v>4.971287515000001E-05</v>
      </c>
      <c r="E58" s="108">
        <v>0.005209459280450001</v>
      </c>
      <c r="F58" s="43">
        <f>Ekvivalenttikertoimet!$B$6*Päästökertoimet!C58+Ekvivalenttikertoimet!$C$6*Päästökertoimet!D58+Ekvivalenttikertoimet!$D$6*Päästökertoimet!E58</f>
        <v>3.4727547162904497</v>
      </c>
      <c r="G58" s="35" t="s">
        <v>171</v>
      </c>
    </row>
    <row r="59" spans="1:6" ht="14.25">
      <c r="A59" s="3" t="s">
        <v>123</v>
      </c>
      <c r="B59" s="3" t="s">
        <v>3</v>
      </c>
      <c r="C59" s="109">
        <v>3.5350001200016936</v>
      </c>
      <c r="D59" s="108">
        <v>0.00024651287515</v>
      </c>
      <c r="E59" s="108">
        <v>0.0052094592804500005</v>
      </c>
      <c r="F59" s="43">
        <f>Ekvivalenttikertoimet!$B$6*Päästökertoimet!C59+Ekvivalenttikertoimet!$C$6*Päästökertoimet!D59+Ekvivalenttikertoimet!$D$6*Päästökertoimet!E59</f>
        <v>3.7386974388076437</v>
      </c>
    </row>
    <row r="60" spans="1:7" ht="14.25">
      <c r="A60" s="3" t="s">
        <v>116</v>
      </c>
      <c r="B60" s="41" t="s">
        <v>3</v>
      </c>
      <c r="C60" s="108">
        <f>C62*'Lämpöarvot&amp;hyötysuhteet'!$C$9/'Lämpöarvot&amp;hyötysuhteet'!$C$10</f>
        <v>3.5294564076858537</v>
      </c>
      <c r="D60" s="108">
        <f>D62*'Lämpöarvot&amp;hyötysuhteet'!$C$9/'Lämpöarvot&amp;hyötysuhteet'!$C$10</f>
        <v>8.872457420924576E-05</v>
      </c>
      <c r="E60" s="108">
        <f>E62*'Lämpöarvot&amp;hyötysuhteet'!$C$9/'Lämpöarvot&amp;hyötysuhteet'!$C$10</f>
        <v>8.872457420924576E-05</v>
      </c>
      <c r="F60" s="43">
        <f>Ekvivalenttikertoimet!$B$6*Päästökertoimet!C60+Ekvivalenttikertoimet!$C$6*Päästökertoimet!D60+Ekvivalenttikertoimet!$D$6*Päästökertoimet!E60</f>
        <v>3.55811444515544</v>
      </c>
      <c r="G60" s="35"/>
    </row>
    <row r="61" spans="1:6" ht="14.25">
      <c r="A61" s="3" t="s">
        <v>117</v>
      </c>
      <c r="B61" s="41" t="s">
        <v>3</v>
      </c>
      <c r="C61" s="108">
        <f>C63*'Lämpöarvot&amp;hyötysuhteet'!$C$9/'Lämpöarvot&amp;hyötysuhteet'!$C$10</f>
        <v>3.5276444589630915</v>
      </c>
      <c r="D61" s="108">
        <f>D63*'Lämpöarvot&amp;hyötysuhteet'!$C$9/'Lämpöarvot&amp;hyötysuhteet'!$C$10</f>
        <v>8.872457420924574E-05</v>
      </c>
      <c r="E61" s="108">
        <f>E63*'Lämpöarvot&amp;hyötysuhteet'!$C$9/'Lämpöarvot&amp;hyötysuhteet'!$C$10</f>
        <v>8.872457420924574E-05</v>
      </c>
      <c r="F61" s="43">
        <f>Ekvivalenttikertoimet!$B$6*Päästökertoimet!C61+Ekvivalenttikertoimet!$C$6*Päästökertoimet!D61+Ekvivalenttikertoimet!$D$6*Päästökertoimet!E61</f>
        <v>3.5563024964326777</v>
      </c>
    </row>
    <row r="62" spans="1:6" ht="14.25">
      <c r="A62" s="3" t="s">
        <v>118</v>
      </c>
      <c r="B62" s="41" t="s">
        <v>3</v>
      </c>
      <c r="C62" s="108">
        <v>3.397205113721044</v>
      </c>
      <c r="D62" s="108">
        <v>8.540000000000002E-05</v>
      </c>
      <c r="E62" s="108">
        <v>8.540000000000002E-05</v>
      </c>
      <c r="F62" s="43">
        <f>Ekvivalenttikertoimet!$B$6*Päästökertoimet!C62+Ekvivalenttikertoimet!$C$6*Päästökertoimet!D62+Ekvivalenttikertoimet!$D$6*Päästökertoimet!E62</f>
        <v>3.4247893137210443</v>
      </c>
    </row>
    <row r="63" spans="1:6" ht="14.25">
      <c r="A63" s="3" t="s">
        <v>119</v>
      </c>
      <c r="B63" s="41" t="s">
        <v>3</v>
      </c>
      <c r="C63" s="108">
        <v>3.3954610600323902</v>
      </c>
      <c r="D63" s="108">
        <v>8.54E-05</v>
      </c>
      <c r="E63" s="108">
        <v>8.54E-05</v>
      </c>
      <c r="F63" s="43">
        <f>Ekvivalenttikertoimet!$B$6*Päästökertoimet!C63+Ekvivalenttikertoimet!$C$6*Päästökertoimet!D63+Ekvivalenttikertoimet!$D$6*Päästökertoimet!E63</f>
        <v>3.4230452600323904</v>
      </c>
    </row>
    <row r="64" spans="1:13" ht="14.25">
      <c r="A64" s="3" t="s">
        <v>124</v>
      </c>
      <c r="B64" s="41" t="s">
        <v>3</v>
      </c>
      <c r="C64" s="108">
        <v>1.137365576557862</v>
      </c>
      <c r="D64" s="108">
        <v>3.433999999999999E-05</v>
      </c>
      <c r="E64" s="108">
        <v>0.00016463</v>
      </c>
      <c r="F64" s="43">
        <f>Ekvivalenttikertoimet!$B$6*Päästökertoimet!C64+Ekvivalenttikertoimet!$C$6*Päästökertoimet!D64+Ekvivalenttikertoimet!$D$6*Päästökertoimet!E64</f>
        <v>1.151714646557862</v>
      </c>
      <c r="G64" s="16"/>
      <c r="H64" s="16"/>
      <c r="I64" s="16"/>
      <c r="J64" s="16"/>
      <c r="K64" s="16"/>
      <c r="L64" s="16"/>
      <c r="M64" s="16"/>
    </row>
    <row r="65" spans="1:13" ht="14.25">
      <c r="A65" s="3" t="s">
        <v>125</v>
      </c>
      <c r="B65" s="41" t="s">
        <v>3</v>
      </c>
      <c r="C65" s="108">
        <v>1.1168919752992983</v>
      </c>
      <c r="D65" s="108">
        <v>3.433999999999999E-05</v>
      </c>
      <c r="E65" s="108">
        <v>0.00016463</v>
      </c>
      <c r="F65" s="43">
        <f>Ekvivalenttikertoimet!$B$6*Päästökertoimet!C65+Ekvivalenttikertoimet!$C$6*Päästökertoimet!D65+Ekvivalenttikertoimet!$D$6*Päästökertoimet!E65</f>
        <v>1.1312410452992983</v>
      </c>
      <c r="G65" s="16"/>
      <c r="H65" s="16"/>
      <c r="I65" s="16"/>
      <c r="J65" s="16"/>
      <c r="K65" s="16"/>
      <c r="L65" s="16"/>
      <c r="M65" s="16"/>
    </row>
    <row r="66" spans="1:13" ht="14.25">
      <c r="A66" s="3" t="s">
        <v>135</v>
      </c>
      <c r="B66" s="41" t="s">
        <v>3</v>
      </c>
      <c r="C66" s="108">
        <v>5.7995893448803635</v>
      </c>
      <c r="D66" s="108">
        <v>7.431287514999998E-05</v>
      </c>
      <c r="E66" s="108">
        <v>0.005258659280450001</v>
      </c>
      <c r="F66" s="43">
        <f>Ekvivalenttikertoimet!$B$6*Päästökertoimet!C66+Ekvivalenttikertoimet!$C$6*Päästökertoimet!D66+Ekvivalenttikertoimet!$D$6*Päästökertoimet!E66</f>
        <v>5.953201063686314</v>
      </c>
      <c r="G66" s="16"/>
      <c r="H66" s="16"/>
      <c r="I66" s="16"/>
      <c r="J66" s="16"/>
      <c r="K66" s="16"/>
      <c r="L66" s="16"/>
      <c r="M66" s="16"/>
    </row>
    <row r="67" spans="1:13" ht="14.25">
      <c r="A67" s="3" t="s">
        <v>138</v>
      </c>
      <c r="B67" s="41" t="s">
        <v>3</v>
      </c>
      <c r="C67" s="108">
        <v>3.7606909920065763</v>
      </c>
      <c r="D67" s="108">
        <v>7.431287515000001E-05</v>
      </c>
      <c r="E67" s="108">
        <v>0.005258659280450001</v>
      </c>
      <c r="F67" s="43">
        <f>Ekvivalenttikertoimet!$B$6*Päästökertoimet!C67+Ekvivalenttikertoimet!$C$6*Päästökertoimet!D67+Ekvivalenttikertoimet!$D$6*Päästökertoimet!E67</f>
        <v>3.9143027108125263</v>
      </c>
      <c r="G67" s="16"/>
      <c r="H67" s="16"/>
      <c r="I67" s="16"/>
      <c r="J67" s="16"/>
      <c r="K67" s="16"/>
      <c r="L67" s="16"/>
      <c r="M67" s="16"/>
    </row>
    <row r="68" spans="1:13" ht="14.25">
      <c r="A68" s="3" t="s">
        <v>126</v>
      </c>
      <c r="B68" s="41" t="s">
        <v>3</v>
      </c>
      <c r="C68" s="108">
        <v>0.03283950027414428</v>
      </c>
      <c r="D68" s="108">
        <v>1.7999999999999997E-05</v>
      </c>
      <c r="E68" s="108">
        <v>7.4175E-05</v>
      </c>
      <c r="F68" s="43">
        <f>Ekvivalenttikertoimet!$B$6*Päästökertoimet!C68+Ekvivalenttikertoimet!$C$6*Päästökertoimet!D68+Ekvivalenttikertoimet!$D$6*Päästökertoimet!E68</f>
        <v>0.040057875274144276</v>
      </c>
      <c r="G68" s="16"/>
      <c r="H68" s="16"/>
      <c r="I68" s="16"/>
      <c r="J68" s="16"/>
      <c r="K68" s="16"/>
      <c r="L68" s="16"/>
      <c r="M68" s="16"/>
    </row>
    <row r="69" spans="1:13" ht="14.25">
      <c r="A69" s="3" t="s">
        <v>127</v>
      </c>
      <c r="B69" s="41" t="s">
        <v>3</v>
      </c>
      <c r="C69" s="108">
        <v>0.0327419386546362</v>
      </c>
      <c r="D69" s="108">
        <v>1.7999999999999997E-05</v>
      </c>
      <c r="E69" s="108">
        <v>7.417499999999999E-05</v>
      </c>
      <c r="F69" s="43">
        <f>Ekvivalenttikertoimet!$B$6*Päästökertoimet!C69+Ekvivalenttikertoimet!$C$6*Päästökertoimet!D69+Ekvivalenttikertoimet!$D$6*Päästökertoimet!E69</f>
        <v>0.0399603136546362</v>
      </c>
      <c r="G69" s="16"/>
      <c r="H69" s="16"/>
      <c r="I69" s="16"/>
      <c r="J69" s="16"/>
      <c r="K69" s="16"/>
      <c r="L69" s="16"/>
      <c r="M69" s="16"/>
    </row>
    <row r="70" spans="1:13" ht="14.25">
      <c r="A70" s="3" t="s">
        <v>128</v>
      </c>
      <c r="B70" s="41" t="s">
        <v>4</v>
      </c>
      <c r="C70" s="108">
        <v>0.2845914207954249</v>
      </c>
      <c r="D70" s="108">
        <v>4E-05</v>
      </c>
      <c r="E70" s="108">
        <v>0.0007305279600136812</v>
      </c>
      <c r="F70" s="43">
        <f>Ekvivalenttikertoimet!$B$6*Päästökertoimet!C70+Ekvivalenttikertoimet!$C$6*Päästökertoimet!D70+Ekvivalenttikertoimet!$D$6*Päästökertoimet!E70</f>
        <v>0.3147746197957669</v>
      </c>
      <c r="G70" s="16"/>
      <c r="H70" s="16"/>
      <c r="I70" s="16"/>
      <c r="J70" s="16"/>
      <c r="K70" s="16"/>
      <c r="L70" s="16"/>
      <c r="M70" s="16"/>
    </row>
    <row r="71" spans="1:13" ht="14.25">
      <c r="A71" s="3" t="s">
        <v>129</v>
      </c>
      <c r="B71" s="41" t="s">
        <v>4</v>
      </c>
      <c r="C71" s="108">
        <v>0.28424617842299205</v>
      </c>
      <c r="D71" s="108">
        <v>4E-05</v>
      </c>
      <c r="E71" s="108">
        <v>0.000730527960013681</v>
      </c>
      <c r="F71" s="43">
        <f>Ekvivalenttikertoimet!$B$6*Päästökertoimet!C71+Ekvivalenttikertoimet!$C$6*Päästökertoimet!D71+Ekvivalenttikertoimet!$D$6*Päästökertoimet!E71</f>
        <v>0.31442937742333404</v>
      </c>
      <c r="G71" s="16"/>
      <c r="H71" s="16"/>
      <c r="I71" s="16"/>
      <c r="J71" s="16"/>
      <c r="K71" s="16"/>
      <c r="L71" s="16"/>
      <c r="M71" s="16"/>
    </row>
    <row r="72" spans="1:13" ht="14.25">
      <c r="A72" s="3" t="s">
        <v>150</v>
      </c>
      <c r="B72" s="41" t="s">
        <v>3</v>
      </c>
      <c r="C72" s="108">
        <v>0.1261139242015909</v>
      </c>
      <c r="D72" s="108">
        <v>5.128751500000001E-07</v>
      </c>
      <c r="E72" s="108">
        <v>0.00518485928045</v>
      </c>
      <c r="F72" s="43">
        <f>Ekvivalenttikertoimet!$B$6*Päästökertoimet!C72+Ekvivalenttikertoimet!$C$6*Päästökertoimet!D72+Ekvivalenttikertoimet!$D$6*Päästökertoimet!E72</f>
        <v>0.25588824300754087</v>
      </c>
      <c r="G72" s="16"/>
      <c r="H72" s="16"/>
      <c r="I72" s="16"/>
      <c r="J72" s="16"/>
      <c r="K72" s="16"/>
      <c r="L72" s="16"/>
      <c r="M72" s="16"/>
    </row>
    <row r="73" spans="1:13" ht="14.25">
      <c r="A73" s="3" t="s">
        <v>151</v>
      </c>
      <c r="B73" s="41" t="s">
        <v>3</v>
      </c>
      <c r="C73" s="108">
        <v>0.12025245889634918</v>
      </c>
      <c r="D73" s="108">
        <v>5.128751500000001E-07</v>
      </c>
      <c r="E73" s="108">
        <v>0.00518485928045</v>
      </c>
      <c r="F73" s="43">
        <f>Ekvivalenttikertoimet!$B$6*Päästökertoimet!C73+Ekvivalenttikertoimet!$C$6*Päästökertoimet!D73+Ekvivalenttikertoimet!$D$6*Päästökertoimet!E73</f>
        <v>0.2500267777022992</v>
      </c>
      <c r="G73" s="16"/>
      <c r="H73" s="16"/>
      <c r="I73" s="16"/>
      <c r="J73" s="16"/>
      <c r="K73" s="16"/>
      <c r="L73" s="16"/>
      <c r="M73" s="16"/>
    </row>
    <row r="74" spans="1:13" ht="15">
      <c r="A74" s="2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4.25">
      <c r="A75" s="230" t="s">
        <v>137</v>
      </c>
      <c r="B75" s="226"/>
      <c r="C75" s="226"/>
      <c r="D75" s="226"/>
      <c r="E75" s="226"/>
      <c r="F75" s="227"/>
      <c r="G75" s="17" t="s">
        <v>169</v>
      </c>
      <c r="H75" s="16"/>
      <c r="I75" s="16"/>
      <c r="J75" s="16"/>
      <c r="K75" s="16"/>
      <c r="L75" s="16"/>
      <c r="M75" s="16"/>
    </row>
    <row r="76" spans="1:13" ht="28.5">
      <c r="A76" s="41" t="s">
        <v>167</v>
      </c>
      <c r="B76" s="41" t="s">
        <v>0</v>
      </c>
      <c r="C76" s="39" t="s">
        <v>163</v>
      </c>
      <c r="D76" s="39" t="s">
        <v>164</v>
      </c>
      <c r="E76" s="39" t="s">
        <v>165</v>
      </c>
      <c r="F76" s="39" t="s">
        <v>166</v>
      </c>
      <c r="G76" s="16"/>
      <c r="H76" s="16"/>
      <c r="I76" s="16"/>
      <c r="J76" s="16"/>
      <c r="K76" s="16"/>
      <c r="L76" s="16"/>
      <c r="M76" s="16"/>
    </row>
    <row r="77" spans="1:13" ht="14.25">
      <c r="A77" s="3" t="s">
        <v>144</v>
      </c>
      <c r="B77" s="41" t="s">
        <v>170</v>
      </c>
      <c r="C77" s="55">
        <v>28.567524343977254</v>
      </c>
      <c r="D77" s="55">
        <v>0.0004209968169300566</v>
      </c>
      <c r="E77" s="55">
        <v>0.8457127807459227</v>
      </c>
      <c r="F77" s="43">
        <f>Ekvivalenttikertoimet!$B$6*Päästökertoimet!C77+Ekvivalenttikertoimet!$C$6*Päästökertoimet!D77+Ekvivalenttikertoimet!$D$6*Päästökertoimet!E77</f>
        <v>49.835800914070475</v>
      </c>
      <c r="G77" s="16"/>
      <c r="H77" s="16"/>
      <c r="I77" s="16"/>
      <c r="J77" s="16"/>
      <c r="K77" s="16"/>
      <c r="L77" s="16"/>
      <c r="M77" s="16"/>
    </row>
    <row r="78" spans="1:13" ht="14.25">
      <c r="A78" s="3" t="s">
        <v>145</v>
      </c>
      <c r="B78" s="41" t="s">
        <v>170</v>
      </c>
      <c r="C78" s="55">
        <v>20.824966794775904</v>
      </c>
      <c r="D78" s="55">
        <v>0</v>
      </c>
      <c r="E78" s="55">
        <v>0.03611619795437081</v>
      </c>
      <c r="F78" s="43">
        <f>Ekvivalenttikertoimet!$B$6*Päästökertoimet!C78+Ekvivalenttikertoimet!$C$6*Päästökertoimet!D78+Ekvivalenttikertoimet!$D$6*Päästökertoimet!E78</f>
        <v>21.727871743635173</v>
      </c>
      <c r="G78" s="16"/>
      <c r="H78" s="16"/>
      <c r="I78" s="16"/>
      <c r="J78" s="16"/>
      <c r="K78" s="16"/>
      <c r="L78" s="16"/>
      <c r="M78" s="16"/>
    </row>
    <row r="79" spans="1:13" ht="14.25">
      <c r="A79" s="3" t="s">
        <v>147</v>
      </c>
      <c r="B79" s="41" t="s">
        <v>170</v>
      </c>
      <c r="C79" s="55">
        <v>20.87105304238412</v>
      </c>
      <c r="D79" s="55">
        <v>8.800789993895108E-05</v>
      </c>
      <c r="E79" s="55">
        <v>0.8897069330643048</v>
      </c>
      <c r="F79" s="43">
        <f>Ekvivalenttikertoimet!$B$6*Päästökertoimet!C79+Ekvivalenttikertoimet!$C$6*Päästökertoimet!D79+Ekvivalenttikertoimet!$D$6*Päästökertoimet!E79</f>
        <v>43.13995272317355</v>
      </c>
      <c r="G79" s="16"/>
      <c r="H79" s="16"/>
      <c r="I79" s="16"/>
      <c r="J79" s="16"/>
      <c r="K79" s="16"/>
      <c r="L79" s="16"/>
      <c r="M79" s="16"/>
    </row>
    <row r="80" spans="1:13" ht="14.25">
      <c r="A80" s="3" t="s">
        <v>1</v>
      </c>
      <c r="B80" s="41" t="s">
        <v>170</v>
      </c>
      <c r="C80" s="55">
        <v>33.69401229091045</v>
      </c>
      <c r="D80" s="55">
        <v>0</v>
      </c>
      <c r="E80" s="55">
        <v>1.4421080344145496</v>
      </c>
      <c r="F80" s="43">
        <f>Ekvivalenttikertoimet!$B$6*Päästökertoimet!C80+Ekvivalenttikertoimet!$C$6*Päästökertoimet!D80+Ekvivalenttikertoimet!$D$6*Päästökertoimet!E80</f>
        <v>69.7467131512742</v>
      </c>
      <c r="G80" s="16"/>
      <c r="H80" s="16"/>
      <c r="I80" s="16"/>
      <c r="J80" s="16"/>
      <c r="K80" s="16"/>
      <c r="L80" s="16"/>
      <c r="M80" s="16"/>
    </row>
    <row r="81" spans="1:13" ht="14.25">
      <c r="A81" s="3" t="s">
        <v>148</v>
      </c>
      <c r="B81" s="3" t="s">
        <v>170</v>
      </c>
      <c r="C81" s="56">
        <v>23.966530745416264</v>
      </c>
      <c r="D81" s="56">
        <v>0</v>
      </c>
      <c r="E81" s="56">
        <v>0</v>
      </c>
      <c r="F81" s="43">
        <f>Ekvivalenttikertoimet!$B$6*Päästökertoimet!C81+Ekvivalenttikertoimet!$C$6*Päästökertoimet!D81+Ekvivalenttikertoimet!$D$6*Päästökertoimet!E81</f>
        <v>23.966530745416264</v>
      </c>
      <c r="G81" s="16"/>
      <c r="H81" s="16"/>
      <c r="I81" s="16"/>
      <c r="J81" s="16"/>
      <c r="K81" s="16"/>
      <c r="L81" s="16"/>
      <c r="M81" s="16"/>
    </row>
    <row r="82" spans="1:13" ht="14.25">
      <c r="A82" s="3" t="s">
        <v>12</v>
      </c>
      <c r="B82" s="41" t="s">
        <v>170</v>
      </c>
      <c r="C82" s="56">
        <v>31.737490216371782</v>
      </c>
      <c r="D82" s="56">
        <v>0.0017267958213396301</v>
      </c>
      <c r="E82" s="56">
        <v>0.057415961059542664</v>
      </c>
      <c r="F82" s="43">
        <f>Ekvivalenttikertoimet!$B$6*Päästökertoimet!C82+Ekvivalenttikertoimet!$C$6*Päästökertoimet!D82+Ekvivalenttikertoimet!$D$6*Päästökertoimet!E82</f>
        <v>33.68747439761956</v>
      </c>
      <c r="G82" s="16"/>
      <c r="H82" s="16"/>
      <c r="I82" s="16"/>
      <c r="J82" s="16"/>
      <c r="K82" s="16"/>
      <c r="L82" s="16"/>
      <c r="M82" s="16"/>
    </row>
    <row r="83" spans="1:13" ht="14.25">
      <c r="A83" s="3" t="s">
        <v>134</v>
      </c>
      <c r="B83" s="41" t="s">
        <v>170</v>
      </c>
      <c r="C83" s="55">
        <v>24.92569758597881</v>
      </c>
      <c r="D83" s="55">
        <v>0.00010866910400132212</v>
      </c>
      <c r="E83" s="55">
        <v>1.0985792787571098</v>
      </c>
      <c r="F83" s="43">
        <f>Ekvivalenttikertoimet!$B$6*Päästökertoimet!C83+Ekvivalenttikertoimet!$C$6*Päästökertoimet!D83+Ekvivalenttikertoimet!$D$6*Päästökertoimet!E83</f>
        <v>52.42256294789895</v>
      </c>
      <c r="G83" s="16"/>
      <c r="H83" s="16"/>
      <c r="I83" s="16"/>
      <c r="J83" s="16"/>
      <c r="K83" s="16"/>
      <c r="L83" s="16"/>
      <c r="M83" s="16"/>
    </row>
    <row r="84" spans="1:13" ht="14.25">
      <c r="A84" s="3" t="s">
        <v>2</v>
      </c>
      <c r="B84" s="41" t="s">
        <v>170</v>
      </c>
      <c r="C84" s="55">
        <v>15.861868498056916</v>
      </c>
      <c r="D84" s="55">
        <v>0</v>
      </c>
      <c r="E84" s="55">
        <v>0.02283741519204675</v>
      </c>
      <c r="F84" s="43">
        <f>Ekvivalenttikertoimet!$B$6*Päästökertoimet!C84+Ekvivalenttikertoimet!$C$6*Päästökertoimet!D84+Ekvivalenttikertoimet!$D$6*Päästökertoimet!E84</f>
        <v>16.432803877858085</v>
      </c>
      <c r="G84" s="16"/>
      <c r="H84" s="16"/>
      <c r="I84" s="16"/>
      <c r="J84" s="16"/>
      <c r="K84" s="16"/>
      <c r="L84" s="16"/>
      <c r="M84" s="16"/>
    </row>
    <row r="85" spans="1:13" ht="14.25">
      <c r="A85" s="3" t="s">
        <v>149</v>
      </c>
      <c r="B85" s="41" t="s">
        <v>170</v>
      </c>
      <c r="C85" s="55">
        <v>61.659426259988805</v>
      </c>
      <c r="D85" s="55">
        <v>0</v>
      </c>
      <c r="E85" s="55">
        <v>0.14536890342948683</v>
      </c>
      <c r="F85" s="43">
        <f>Ekvivalenttikertoimet!$B$6*Päästökertoimet!C85+Ekvivalenttikertoimet!$C$6*Päästökertoimet!D85+Ekvivalenttikertoimet!$D$6*Päästökertoimet!E85</f>
        <v>65.29364884572598</v>
      </c>
      <c r="G85" s="16"/>
      <c r="H85" s="16"/>
      <c r="I85" s="16"/>
      <c r="J85" s="16"/>
      <c r="K85" s="16"/>
      <c r="L85" s="16"/>
      <c r="M85" s="16"/>
    </row>
    <row r="86" spans="1:13" ht="14.25">
      <c r="A86" s="3" t="s">
        <v>136</v>
      </c>
      <c r="B86" s="41" t="s">
        <v>170</v>
      </c>
      <c r="C86" s="55">
        <v>18.589607899644008</v>
      </c>
      <c r="D86" s="55">
        <v>7.638236701135784E-05</v>
      </c>
      <c r="E86" s="55">
        <v>0.7721797877350397</v>
      </c>
      <c r="F86" s="43">
        <f>Ekvivalenttikertoimet!$B$6*Päästökertoimet!C86+Ekvivalenttikertoimet!$C$6*Päästökertoimet!D86+Ekvivalenttikertoimet!$D$6*Päästökertoimet!E86</f>
        <v>37.91686453838939</v>
      </c>
      <c r="G86" s="16"/>
      <c r="H86" s="16"/>
      <c r="I86" s="16"/>
      <c r="J86" s="16"/>
      <c r="K86" s="16"/>
      <c r="L86" s="16"/>
      <c r="M86" s="16"/>
    </row>
    <row r="87" spans="1:13" ht="14.25">
      <c r="A87" s="62"/>
      <c r="B87" s="16"/>
      <c r="C87" s="63"/>
      <c r="D87" s="63"/>
      <c r="E87" s="63"/>
      <c r="F87" s="19"/>
      <c r="G87" s="16"/>
      <c r="H87" s="16"/>
      <c r="I87" s="16"/>
      <c r="J87" s="16"/>
      <c r="K87" s="16"/>
      <c r="L87" s="16"/>
      <c r="M87" s="16"/>
    </row>
    <row r="88" spans="1:13" ht="14.25">
      <c r="A88" s="230" t="s">
        <v>176</v>
      </c>
      <c r="B88" s="226"/>
      <c r="C88" s="226"/>
      <c r="D88" s="226"/>
      <c r="E88" s="226"/>
      <c r="F88" s="227"/>
      <c r="G88" s="16"/>
      <c r="H88" s="16"/>
      <c r="I88" s="16"/>
      <c r="J88" s="16"/>
      <c r="K88" s="16"/>
      <c r="L88" s="16"/>
      <c r="M88" s="16"/>
    </row>
    <row r="89" spans="1:13" ht="28.5">
      <c r="A89" s="41" t="s">
        <v>167</v>
      </c>
      <c r="B89" s="41" t="s">
        <v>0</v>
      </c>
      <c r="C89" s="39" t="s">
        <v>163</v>
      </c>
      <c r="D89" s="39" t="s">
        <v>164</v>
      </c>
      <c r="E89" s="39" t="s">
        <v>165</v>
      </c>
      <c r="F89" s="39" t="s">
        <v>166</v>
      </c>
      <c r="G89" s="16"/>
      <c r="H89" s="16"/>
      <c r="I89" s="16"/>
      <c r="J89" s="16"/>
      <c r="K89" s="16"/>
      <c r="L89" s="16"/>
      <c r="M89" s="16"/>
    </row>
    <row r="90" spans="1:13" ht="14.25">
      <c r="A90" s="3" t="s">
        <v>176</v>
      </c>
      <c r="B90" s="41" t="s">
        <v>170</v>
      </c>
      <c r="C90" s="55">
        <v>300.7</v>
      </c>
      <c r="D90" s="55">
        <v>0.0157</v>
      </c>
      <c r="E90" s="55">
        <v>0.7209</v>
      </c>
      <c r="F90" s="43">
        <f>Ekvivalenttikertoimet!$B$6*Päästökertoimet!C90+Ekvivalenttikertoimet!$C$6*Päästökertoimet!D90+Ekvivalenttikertoimet!$D$6*Päästökertoimet!E90</f>
        <v>323.4011</v>
      </c>
      <c r="G90" s="16"/>
      <c r="H90" s="16"/>
      <c r="I90" s="16"/>
      <c r="J90" s="16"/>
      <c r="K90" s="16"/>
      <c r="L90" s="16"/>
      <c r="M90" s="16"/>
    </row>
    <row r="91" spans="1:13" ht="14.25">
      <c r="A91" s="62"/>
      <c r="B91" s="16"/>
      <c r="C91" s="63"/>
      <c r="D91" s="63"/>
      <c r="E91" s="63"/>
      <c r="F91" s="19"/>
      <c r="G91" s="16"/>
      <c r="H91" s="16"/>
      <c r="I91" s="16"/>
      <c r="J91" s="16"/>
      <c r="K91" s="16"/>
      <c r="L91" s="16"/>
      <c r="M91" s="16"/>
    </row>
    <row r="92" spans="1:13" ht="15">
      <c r="A92" s="27" t="s">
        <v>269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28.5">
      <c r="A93" s="16"/>
      <c r="B93" s="39" t="s">
        <v>280</v>
      </c>
      <c r="C93" s="39" t="s">
        <v>279</v>
      </c>
      <c r="D93" s="39" t="s">
        <v>278</v>
      </c>
      <c r="E93" s="39" t="s">
        <v>281</v>
      </c>
      <c r="F93" s="40" t="s">
        <v>73</v>
      </c>
      <c r="G93" s="16"/>
      <c r="H93" s="16"/>
      <c r="I93" s="16"/>
      <c r="J93" s="16"/>
      <c r="K93" s="16"/>
      <c r="L93" s="16"/>
      <c r="M93" s="16"/>
    </row>
    <row r="94" spans="1:13" ht="14.25">
      <c r="A94" s="16" t="s">
        <v>276</v>
      </c>
      <c r="B94" s="83"/>
      <c r="C94" s="83"/>
      <c r="D94" s="83"/>
      <c r="E94" s="43">
        <v>0.0685</v>
      </c>
      <c r="F94" s="16" t="s">
        <v>282</v>
      </c>
      <c r="G94" s="16"/>
      <c r="H94" s="16"/>
      <c r="I94" s="16"/>
      <c r="J94" s="16"/>
      <c r="K94" s="16"/>
      <c r="L94" s="16"/>
      <c r="M94" s="16"/>
    </row>
    <row r="95" spans="1:13" ht="15">
      <c r="A95" s="27"/>
      <c r="B95" s="63"/>
      <c r="C95" s="63"/>
      <c r="D95" s="63"/>
      <c r="E95" s="19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27" t="s">
        <v>270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28.5">
      <c r="A97" s="16"/>
      <c r="B97" s="39" t="s">
        <v>264</v>
      </c>
      <c r="C97" s="39" t="s">
        <v>265</v>
      </c>
      <c r="D97" s="39" t="s">
        <v>266</v>
      </c>
      <c r="E97" s="39" t="s">
        <v>267</v>
      </c>
      <c r="F97" s="16"/>
      <c r="G97" s="16"/>
      <c r="H97" s="16"/>
      <c r="I97" s="16"/>
      <c r="J97" s="16"/>
      <c r="K97" s="16"/>
      <c r="L97" s="16"/>
      <c r="M97" s="16"/>
    </row>
    <row r="98" spans="1:13" ht="14.25">
      <c r="A98" s="16" t="s">
        <v>8</v>
      </c>
      <c r="B98" s="83"/>
      <c r="C98" s="83"/>
      <c r="D98" s="83"/>
      <c r="E98" s="43">
        <v>0.094</v>
      </c>
      <c r="F98" s="16"/>
      <c r="G98" s="16"/>
      <c r="H98" s="16"/>
      <c r="I98" s="16"/>
      <c r="J98" s="16"/>
      <c r="K98" s="16"/>
      <c r="L98" s="16"/>
      <c r="M98" s="16"/>
    </row>
    <row r="99" spans="1:13" ht="15">
      <c r="A99" s="27"/>
      <c r="B99" s="63"/>
      <c r="C99" s="63"/>
      <c r="D99" s="63"/>
      <c r="E99" s="19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27" t="s">
        <v>277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4" ht="28.5">
      <c r="A101" s="16"/>
      <c r="B101" s="88" t="s">
        <v>0</v>
      </c>
      <c r="C101" s="89" t="s">
        <v>163</v>
      </c>
      <c r="D101" s="89" t="s">
        <v>164</v>
      </c>
      <c r="E101" s="89" t="s">
        <v>165</v>
      </c>
      <c r="F101" s="89" t="s">
        <v>166</v>
      </c>
      <c r="G101" s="16"/>
      <c r="H101" s="16"/>
      <c r="I101" s="16"/>
      <c r="J101" s="16"/>
      <c r="K101" s="16"/>
      <c r="L101" s="16"/>
      <c r="M101" s="16"/>
      <c r="N101" s="16"/>
    </row>
    <row r="102" spans="1:14" ht="14.25">
      <c r="A102" s="41" t="s">
        <v>314</v>
      </c>
      <c r="B102" s="41" t="s">
        <v>296</v>
      </c>
      <c r="C102" s="91"/>
      <c r="D102" s="91"/>
      <c r="E102" s="91"/>
      <c r="F102" s="47">
        <v>333</v>
      </c>
      <c r="G102" s="16"/>
      <c r="H102" s="16"/>
      <c r="I102" s="16"/>
      <c r="J102" s="16"/>
      <c r="K102" s="16"/>
      <c r="L102" s="16"/>
      <c r="M102" s="16"/>
      <c r="N102" s="16"/>
    </row>
    <row r="103" spans="1:13" ht="14.25">
      <c r="A103" s="41" t="s">
        <v>315</v>
      </c>
      <c r="B103" s="41" t="s">
        <v>296</v>
      </c>
      <c r="C103" s="83"/>
      <c r="D103" s="83"/>
      <c r="E103" s="83"/>
      <c r="F103" s="97">
        <v>330</v>
      </c>
      <c r="G103" s="16"/>
      <c r="H103" s="16"/>
      <c r="I103" s="16"/>
      <c r="J103" s="16"/>
      <c r="K103" s="16"/>
      <c r="L103" s="16"/>
      <c r="M103" s="16"/>
    </row>
    <row r="104" spans="1:13" ht="14.25">
      <c r="A104" s="41" t="s">
        <v>294</v>
      </c>
      <c r="B104" s="41" t="s">
        <v>296</v>
      </c>
      <c r="C104" s="83"/>
      <c r="D104" s="83"/>
      <c r="E104" s="83"/>
      <c r="F104" s="97">
        <v>102</v>
      </c>
      <c r="G104" s="16"/>
      <c r="H104" s="16"/>
      <c r="I104" s="16"/>
      <c r="J104" s="16"/>
      <c r="K104" s="16"/>
      <c r="L104" s="16"/>
      <c r="M104" s="16"/>
    </row>
    <row r="105" spans="1:13" ht="14.25">
      <c r="A105" s="41" t="s">
        <v>295</v>
      </c>
      <c r="B105" s="41" t="s">
        <v>296</v>
      </c>
      <c r="C105" s="91"/>
      <c r="D105" s="91"/>
      <c r="E105" s="91"/>
      <c r="F105" s="47">
        <v>150</v>
      </c>
      <c r="G105" s="16"/>
      <c r="H105" s="16"/>
      <c r="I105" s="16"/>
      <c r="J105" s="16"/>
      <c r="K105" s="16"/>
      <c r="L105" s="16"/>
      <c r="M105" s="16"/>
    </row>
    <row r="106" spans="1:13" ht="15">
      <c r="A106" s="90"/>
      <c r="B106" s="41"/>
      <c r="C106" s="91"/>
      <c r="D106" s="91"/>
      <c r="E106" s="91"/>
      <c r="F106" s="47"/>
      <c r="G106" s="16"/>
      <c r="H106" s="16"/>
      <c r="I106" s="16"/>
      <c r="J106" s="16"/>
      <c r="K106" s="16"/>
      <c r="L106" s="16"/>
      <c r="M106" s="16"/>
    </row>
    <row r="107" spans="1:13" ht="15">
      <c r="A107" s="90"/>
      <c r="B107" s="41"/>
      <c r="C107" s="41"/>
      <c r="D107" s="41"/>
      <c r="E107" s="41"/>
      <c r="F107" s="47"/>
      <c r="G107" s="16"/>
      <c r="H107" s="16"/>
      <c r="I107" s="16"/>
      <c r="J107" s="16"/>
      <c r="K107" s="16"/>
      <c r="L107" s="16"/>
      <c r="M107" s="16"/>
    </row>
    <row r="108" spans="1:13" ht="15">
      <c r="A108" s="90"/>
      <c r="B108" s="41"/>
      <c r="C108" s="41"/>
      <c r="D108" s="41"/>
      <c r="E108" s="41"/>
      <c r="F108" s="47"/>
      <c r="G108" s="20"/>
      <c r="H108" s="16"/>
      <c r="I108" s="16"/>
      <c r="J108" s="16"/>
      <c r="K108" s="16"/>
      <c r="L108" s="16"/>
      <c r="M108" s="16"/>
    </row>
    <row r="109" spans="1:13" ht="15">
      <c r="A109" s="2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">
      <c r="A110" s="27" t="s">
        <v>272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28.5">
      <c r="A111" s="39" t="s">
        <v>28</v>
      </c>
      <c r="B111" s="39" t="s">
        <v>69</v>
      </c>
      <c r="C111" s="39" t="s">
        <v>75</v>
      </c>
      <c r="D111" s="40" t="s">
        <v>70</v>
      </c>
      <c r="E111" s="40" t="s">
        <v>71</v>
      </c>
      <c r="F111" s="40" t="s">
        <v>72</v>
      </c>
      <c r="G111" s="40" t="s">
        <v>152</v>
      </c>
      <c r="H111" s="40" t="s">
        <v>73</v>
      </c>
      <c r="I111" s="39" t="s">
        <v>68</v>
      </c>
      <c r="J111" s="39" t="s">
        <v>29</v>
      </c>
      <c r="K111" s="16"/>
      <c r="L111" s="16"/>
      <c r="M111" s="16"/>
    </row>
    <row r="112" spans="1:13" ht="14.25">
      <c r="A112" s="71" t="s">
        <v>186</v>
      </c>
      <c r="B112" s="45" t="s">
        <v>30</v>
      </c>
      <c r="C112" s="52"/>
      <c r="D112" s="57">
        <v>0.544</v>
      </c>
      <c r="E112" s="57">
        <f>0.0000000000128+14/17*0.01*44/28</f>
        <v>0.012941176483388236</v>
      </c>
      <c r="F112" s="57">
        <v>0</v>
      </c>
      <c r="G112" s="43">
        <f>Ekvivalenttikertoimet!$B$6*Päästökertoimet!D112+Ekvivalenttikertoimet!$C$6*Päästökertoimet!E112+Ekvivalenttikertoimet!$D$6*Päästökertoimet!F112</f>
        <v>4.400470592049695</v>
      </c>
      <c r="H112" s="47" t="s">
        <v>33</v>
      </c>
      <c r="I112" s="47">
        <v>1997</v>
      </c>
      <c r="J112" s="48" t="s">
        <v>60</v>
      </c>
      <c r="K112" s="16"/>
      <c r="L112" s="16"/>
      <c r="M112" s="16"/>
    </row>
    <row r="113" spans="1:13" ht="14.25">
      <c r="A113" s="70" t="s">
        <v>383</v>
      </c>
      <c r="B113" s="41" t="s">
        <v>27</v>
      </c>
      <c r="C113" s="42"/>
      <c r="D113" s="44">
        <v>0.822279622310529</v>
      </c>
      <c r="E113" s="44">
        <f>0.00433409545788639+0.01*0.34*44/28</f>
        <v>0.009676952600743534</v>
      </c>
      <c r="F113" s="44">
        <v>0.0021093856845376784</v>
      </c>
      <c r="G113" s="43">
        <f>Ekvivalenttikertoimet!$B$6*Päästökertoimet!D113+Ekvivalenttikertoimet!$C$6*Päästökertoimet!E113+Ekvivalenttikertoimet!$D$6*Päästökertoimet!F113</f>
        <v>3.758746139445544</v>
      </c>
      <c r="H113" s="44" t="s">
        <v>27</v>
      </c>
      <c r="I113" s="41"/>
      <c r="J113" s="41"/>
      <c r="K113" s="16"/>
      <c r="L113" s="16"/>
      <c r="M113" s="16"/>
    </row>
    <row r="114" spans="1:13" ht="14.25">
      <c r="A114" s="73" t="s">
        <v>384</v>
      </c>
      <c r="B114" s="45" t="s">
        <v>206</v>
      </c>
      <c r="C114" s="52"/>
      <c r="D114" s="57">
        <v>2.9215029</v>
      </c>
      <c r="E114" s="57">
        <f>0.0189246+0.34*0.01*44/28</f>
        <v>0.024267457142857142</v>
      </c>
      <c r="F114" s="57">
        <v>0.006212070149</v>
      </c>
      <c r="G114" s="43">
        <f>Ekvivalenttikertoimet!$B$6*Päästökertoimet!D114+Ekvivalenttikertoimet!$C$6*Päästökertoimet!E114+Ekvivalenttikertoimet!$D$6*Päästökertoimet!F114</f>
        <v>10.30850688229643</v>
      </c>
      <c r="H114" s="47" t="s">
        <v>67</v>
      </c>
      <c r="I114" s="47">
        <v>1999</v>
      </c>
      <c r="J114" s="48"/>
      <c r="K114" s="16"/>
      <c r="L114" s="16"/>
      <c r="M114" s="16"/>
    </row>
    <row r="115" spans="1:13" ht="14.25">
      <c r="A115" s="73" t="s">
        <v>385</v>
      </c>
      <c r="B115" s="45" t="s">
        <v>206</v>
      </c>
      <c r="C115" s="52"/>
      <c r="D115" s="57">
        <v>0.425</v>
      </c>
      <c r="E115" s="57">
        <f>0.00000728+0.01*0.084*44/28</f>
        <v>0.00132728</v>
      </c>
      <c r="F115" s="57">
        <v>0.0105</v>
      </c>
      <c r="G115" s="43">
        <f>Ekvivalenttikertoimet!$B$6*Päästökertoimet!D115+Ekvivalenttikertoimet!$C$6*Päästökertoimet!E115+Ekvivalenttikertoimet!$D$6*Päästökertoimet!F115</f>
        <v>1.08302944</v>
      </c>
      <c r="H115" s="47"/>
      <c r="I115" s="47"/>
      <c r="J115" s="48"/>
      <c r="K115" s="16"/>
      <c r="L115" s="16"/>
      <c r="M115" s="16"/>
    </row>
    <row r="116" spans="1:13" ht="14.25">
      <c r="A116" s="73" t="s">
        <v>194</v>
      </c>
      <c r="B116" s="45" t="s">
        <v>206</v>
      </c>
      <c r="C116" s="52"/>
      <c r="D116" s="57">
        <v>4.97</v>
      </c>
      <c r="E116" s="57">
        <f>0.0000897+0.01*44/28</f>
        <v>0.015803985714285717</v>
      </c>
      <c r="F116" s="57">
        <v>0.010880500216</v>
      </c>
      <c r="G116" s="43">
        <f>Ekvivalenttikertoimet!$B$6*Päästökertoimet!D116+Ekvivalenttikertoimet!$C$6*Päästökertoimet!E116+Ekvivalenttikertoimet!$D$6*Päästökertoimet!F116</f>
        <v>9.951600248257144</v>
      </c>
      <c r="H116" s="47" t="s">
        <v>67</v>
      </c>
      <c r="I116" s="47">
        <v>1999</v>
      </c>
      <c r="J116" s="48"/>
      <c r="K116" s="16"/>
      <c r="L116" s="16"/>
      <c r="M116" s="16"/>
    </row>
    <row r="117" spans="1:13" ht="14.25">
      <c r="A117" s="73" t="s">
        <v>195</v>
      </c>
      <c r="B117" s="45" t="s">
        <v>206</v>
      </c>
      <c r="C117" s="52"/>
      <c r="D117" s="57">
        <v>1.2403078</v>
      </c>
      <c r="E117" s="57">
        <f>0.0000334+8.4/52*0.01*44/28</f>
        <v>0.0025718615384615383</v>
      </c>
      <c r="F117" s="57">
        <v>0.0018720200413999998</v>
      </c>
      <c r="G117" s="43">
        <f>Ekvivalenttikertoimet!$B$6*Päästökertoimet!D117+Ekvivalenttikertoimet!$C$6*Päästökertoimet!E117+Ekvivalenttikertoimet!$D$6*Päästökertoimet!F117</f>
        <v>2.0535230394965382</v>
      </c>
      <c r="H117" s="47" t="s">
        <v>67</v>
      </c>
      <c r="I117" s="47">
        <v>1999</v>
      </c>
      <c r="J117" s="48"/>
      <c r="K117" s="16"/>
      <c r="L117" s="16"/>
      <c r="M117" s="16"/>
    </row>
    <row r="118" spans="1:13" ht="14.25">
      <c r="A118" s="73" t="s">
        <v>205</v>
      </c>
      <c r="B118" s="45" t="s">
        <v>206</v>
      </c>
      <c r="C118" s="52"/>
      <c r="D118" s="57">
        <v>2.6649890999999997</v>
      </c>
      <c r="E118" s="57">
        <f>0.0000322+0.21*0.01*44/28</f>
        <v>0.0033322</v>
      </c>
      <c r="F118" s="57">
        <v>0.00559807</v>
      </c>
      <c r="G118" s="43">
        <f>Ekvivalenttikertoimet!$B$6*Päästökertoimet!D118+Ekvivalenttikertoimet!$C$6*Päästökertoimet!E118+Ekvivalenttikertoimet!$D$6*Päästökertoimet!F118</f>
        <v>3.7979364499999995</v>
      </c>
      <c r="H118" s="47" t="s">
        <v>67</v>
      </c>
      <c r="I118" s="47">
        <v>1998</v>
      </c>
      <c r="J118" s="48"/>
      <c r="K118" s="16"/>
      <c r="L118" s="16"/>
      <c r="M118" s="16"/>
    </row>
    <row r="119" spans="1:13" ht="14.25">
      <c r="A119" s="71" t="s">
        <v>88</v>
      </c>
      <c r="B119" s="45" t="s">
        <v>30</v>
      </c>
      <c r="C119" s="46" t="s">
        <v>52</v>
      </c>
      <c r="D119" s="57">
        <v>0.0197</v>
      </c>
      <c r="E119" s="57">
        <v>3.52E-05</v>
      </c>
      <c r="F119" s="57">
        <v>4.03E-12</v>
      </c>
      <c r="G119" s="43">
        <f>Ekvivalenttikertoimet!$B$6*Päästökertoimet!D119+Ekvivalenttikertoimet!$C$6*Päästökertoimet!E119+Ekvivalenttikertoimet!$D$6*Päästökertoimet!F119</f>
        <v>0.030189600100749996</v>
      </c>
      <c r="H119" s="47" t="s">
        <v>33</v>
      </c>
      <c r="I119" s="47">
        <v>1996</v>
      </c>
      <c r="J119" s="48" t="s">
        <v>34</v>
      </c>
      <c r="K119" s="16"/>
      <c r="L119" s="16"/>
      <c r="M119" s="16"/>
    </row>
    <row r="120" spans="1:13" ht="14.25">
      <c r="A120" s="71" t="s">
        <v>88</v>
      </c>
      <c r="B120" s="45" t="s">
        <v>45</v>
      </c>
      <c r="C120" s="49"/>
      <c r="D120" s="57">
        <v>0.033052</v>
      </c>
      <c r="E120" s="57">
        <v>8.060000000000001E-05</v>
      </c>
      <c r="F120" s="57">
        <v>7E-07</v>
      </c>
      <c r="G120" s="43">
        <f>Ekvivalenttikertoimet!$B$6*Päästökertoimet!D120+Ekvivalenttikertoimet!$C$6*Päästökertoimet!E120+Ekvivalenttikertoimet!$D$6*Päästökertoimet!F120</f>
        <v>0.0570883</v>
      </c>
      <c r="H120" s="47" t="s">
        <v>41</v>
      </c>
      <c r="I120" s="47">
        <v>1996.19998</v>
      </c>
      <c r="J120" s="48"/>
      <c r="K120" s="16"/>
      <c r="L120" s="16"/>
      <c r="M120" s="16"/>
    </row>
    <row r="121" spans="1:13" ht="14.25">
      <c r="A121" s="71" t="s">
        <v>87</v>
      </c>
      <c r="B121" s="45" t="s">
        <v>45</v>
      </c>
      <c r="C121" s="46" t="s">
        <v>53</v>
      </c>
      <c r="D121" s="57">
        <v>0.0066638</v>
      </c>
      <c r="E121" s="57">
        <v>1.61E-05</v>
      </c>
      <c r="F121" s="57">
        <v>1.0000000000000001E-07</v>
      </c>
      <c r="G121" s="43">
        <f>Ekvivalenttikertoimet!$B$6*Päästökertoimet!D121+Ekvivalenttikertoimet!$C$6*Päästökertoimet!E121+Ekvivalenttikertoimet!$D$6*Päästökertoimet!F121</f>
        <v>0.0114641</v>
      </c>
      <c r="H121" s="47" t="s">
        <v>41</v>
      </c>
      <c r="I121" s="50" t="s">
        <v>46</v>
      </c>
      <c r="J121" s="48"/>
      <c r="K121" s="16"/>
      <c r="L121" s="16"/>
      <c r="M121" s="16"/>
    </row>
    <row r="122" spans="1:13" ht="14.25">
      <c r="A122" s="71" t="s">
        <v>387</v>
      </c>
      <c r="B122" s="45"/>
      <c r="C122" s="46"/>
      <c r="D122" s="57">
        <f>D123*0.18</f>
        <v>0.486</v>
      </c>
      <c r="E122" s="57">
        <f>E123*0.18*0.01*44/28</f>
        <v>4.456099102040817E-05</v>
      </c>
      <c r="F122" s="57">
        <f>F123*0.18</f>
        <v>0.001062</v>
      </c>
      <c r="G122" s="43">
        <f>Ekvivalenttikertoimet!$B$6*Päästökertoimet!D122+Ekvivalenttikertoimet!$C$6*Päästökertoimet!E122+Ekvivalenttikertoimet!$D$6*Päästökertoimet!F122</f>
        <v>0.5258291753240816</v>
      </c>
      <c r="H122" s="47"/>
      <c r="I122" s="50"/>
      <c r="J122" s="48"/>
      <c r="K122" s="16"/>
      <c r="L122" s="16"/>
      <c r="M122" s="16"/>
    </row>
    <row r="123" spans="1:13" ht="14.25">
      <c r="A123" s="73" t="s">
        <v>211</v>
      </c>
      <c r="B123" s="45" t="s">
        <v>206</v>
      </c>
      <c r="C123" s="52"/>
      <c r="D123" s="57">
        <v>2.7</v>
      </c>
      <c r="E123" s="57">
        <f>0.0000396+0.01*44/28</f>
        <v>0.015753885714285716</v>
      </c>
      <c r="F123" s="57">
        <v>0.0059</v>
      </c>
      <c r="G123" s="43">
        <f>D123+25*F123+298*E123</f>
        <v>7.542157942857144</v>
      </c>
      <c r="H123" s="47" t="s">
        <v>67</v>
      </c>
      <c r="I123" s="47">
        <v>1999</v>
      </c>
      <c r="J123" s="48"/>
      <c r="K123" s="16"/>
      <c r="L123" s="16"/>
      <c r="M123" s="16"/>
    </row>
    <row r="124" spans="1:13" ht="14.25">
      <c r="A124" s="73" t="s">
        <v>212</v>
      </c>
      <c r="B124" s="45" t="s">
        <v>206</v>
      </c>
      <c r="C124" s="52"/>
      <c r="D124" s="57">
        <v>1.5</v>
      </c>
      <c r="E124" s="57">
        <f>0.0000249+0.01*18/46*44/28</f>
        <v>0.006173968322981365</v>
      </c>
      <c r="F124" s="57">
        <v>0.00227</v>
      </c>
      <c r="G124" s="43">
        <f>Ekvivalenttikertoimet!$B$6*Päästökertoimet!D124+Ekvivalenttikertoimet!$C$6*Päästökertoimet!E124+Ekvivalenttikertoimet!$D$6*Päästökertoimet!F124</f>
        <v>3.396592560248447</v>
      </c>
      <c r="H124" s="47" t="s">
        <v>67</v>
      </c>
      <c r="I124" s="47">
        <v>1999</v>
      </c>
      <c r="J124" s="48"/>
      <c r="K124" s="16"/>
      <c r="L124" s="16"/>
      <c r="M124" s="16"/>
    </row>
    <row r="125" spans="1:13" ht="14.25">
      <c r="A125" s="71" t="s">
        <v>188</v>
      </c>
      <c r="B125" s="45" t="s">
        <v>30</v>
      </c>
      <c r="C125" s="52"/>
      <c r="D125" s="57">
        <v>0.312</v>
      </c>
      <c r="E125" s="57">
        <v>0.000273</v>
      </c>
      <c r="F125" s="57">
        <v>3.96E-11</v>
      </c>
      <c r="G125" s="43">
        <f>Ekvivalenttikertoimet!$B$6*Päästökertoimet!D125+Ekvivalenttikertoimet!$C$6*Päästökertoimet!E125+Ekvivalenttikertoimet!$D$6*Päästökertoimet!F125</f>
        <v>0.39335400099</v>
      </c>
      <c r="H125" s="47" t="s">
        <v>33</v>
      </c>
      <c r="I125" s="47">
        <v>1996</v>
      </c>
      <c r="J125" s="48" t="s">
        <v>34</v>
      </c>
      <c r="K125" s="16"/>
      <c r="L125" s="16"/>
      <c r="M125" s="16"/>
    </row>
    <row r="126" spans="1:13" ht="14.25">
      <c r="A126" s="71" t="s">
        <v>207</v>
      </c>
      <c r="B126" s="45" t="s">
        <v>30</v>
      </c>
      <c r="C126" s="52"/>
      <c r="D126" s="57">
        <v>0.46</v>
      </c>
      <c r="E126" s="57">
        <v>2.14E-06</v>
      </c>
      <c r="F126" s="57">
        <v>0.0008209999999999999</v>
      </c>
      <c r="G126" s="43">
        <f>Ekvivalenttikertoimet!$B$6*Päästökertoimet!D126+Ekvivalenttikertoimet!$C$6*Päästökertoimet!E126+Ekvivalenttikertoimet!$D$6*Päästökertoimet!F126</f>
        <v>0.48116272000000004</v>
      </c>
      <c r="H126" s="47" t="s">
        <v>33</v>
      </c>
      <c r="I126" s="47">
        <v>1998</v>
      </c>
      <c r="J126" s="48" t="s">
        <v>185</v>
      </c>
      <c r="K126" s="16"/>
      <c r="L126" s="16"/>
      <c r="M126" s="16"/>
    </row>
    <row r="127" spans="1:13" ht="14.25">
      <c r="A127" s="73" t="s">
        <v>208</v>
      </c>
      <c r="B127" s="45" t="s">
        <v>206</v>
      </c>
      <c r="C127" s="52"/>
      <c r="D127" s="57">
        <v>0.47483454968000005</v>
      </c>
      <c r="E127" s="57">
        <v>3.69E-05</v>
      </c>
      <c r="F127" s="57">
        <v>0.00181489</v>
      </c>
      <c r="G127" s="43">
        <f>Ekvivalenttikertoimet!$B$6*Päästökertoimet!D127+Ekvivalenttikertoimet!$C$6*Päästökertoimet!E127+Ekvivalenttikertoimet!$D$6*Päästökertoimet!F127</f>
        <v>0.5312029996800001</v>
      </c>
      <c r="H127" s="47" t="s">
        <v>67</v>
      </c>
      <c r="I127" s="47">
        <v>2000</v>
      </c>
      <c r="J127" s="51"/>
      <c r="K127" s="16"/>
      <c r="L127" s="16"/>
      <c r="M127" s="16"/>
    </row>
    <row r="128" spans="1:13" ht="14.25">
      <c r="A128" s="73" t="s">
        <v>388</v>
      </c>
      <c r="B128" s="45"/>
      <c r="C128" s="52"/>
      <c r="D128" s="57">
        <f>0.14*D130</f>
        <v>0.6304200000000001</v>
      </c>
      <c r="E128" s="57">
        <f>0.14*E130</f>
        <v>0.007494758000000001</v>
      </c>
      <c r="F128" s="57">
        <f>0.14*F129</f>
        <v>0.00037584412785066003</v>
      </c>
      <c r="G128" s="43">
        <f>Ekvivalenttikertoimet!$B$6*Päästökertoimet!D128+Ekvivalenttikertoimet!$C$6*Päästökertoimet!E128+Ekvivalenttikertoimet!$D$6*Päästökertoimet!F128</f>
        <v>2.8732539871962666</v>
      </c>
      <c r="H128" s="47"/>
      <c r="I128" s="47"/>
      <c r="J128" s="51"/>
      <c r="K128" s="16"/>
      <c r="L128" s="16"/>
      <c r="M128" s="16"/>
    </row>
    <row r="129" spans="1:13" ht="14.25">
      <c r="A129" s="73" t="s">
        <v>199</v>
      </c>
      <c r="B129" s="45" t="s">
        <v>206</v>
      </c>
      <c r="C129" s="52"/>
      <c r="D129" s="57">
        <v>0.8413108327700001</v>
      </c>
      <c r="E129" s="57">
        <f>0.0000406+0.01*0.27*44/28</f>
        <v>0.004283457142857143</v>
      </c>
      <c r="F129" s="57">
        <v>0.002684600913219</v>
      </c>
      <c r="G129" s="43">
        <f>Ekvivalenttikertoimet!$B$6*Päästökertoimet!D129+Ekvivalenttikertoimet!$C$6*Päästökertoimet!E129+Ekvivalenttikertoimet!$D$6*Päästökertoimet!F129</f>
        <v>2.184896084171904</v>
      </c>
      <c r="H129" s="47" t="s">
        <v>67</v>
      </c>
      <c r="I129" s="47">
        <v>1999</v>
      </c>
      <c r="J129" s="48"/>
      <c r="K129" s="16"/>
      <c r="L129" s="16"/>
      <c r="M129" s="16"/>
    </row>
    <row r="130" spans="1:13" ht="14.25">
      <c r="A130" s="73" t="s">
        <v>200</v>
      </c>
      <c r="B130" s="45" t="s">
        <v>206</v>
      </c>
      <c r="C130" s="52"/>
      <c r="D130" s="57">
        <v>4.503</v>
      </c>
      <c r="E130" s="57">
        <f>0.0378197+0.01*44/28</f>
        <v>0.05353398571428571</v>
      </c>
      <c r="F130" s="57">
        <v>0.009</v>
      </c>
      <c r="G130" s="43">
        <f>Ekvivalenttikertoimet!$B$6*Päästökertoimet!D130+Ekvivalenttikertoimet!$C$6*Päästökertoimet!E130+Ekvivalenttikertoimet!$D$6*Päästökertoimet!F130</f>
        <v>20.681127742857143</v>
      </c>
      <c r="H130" s="47" t="s">
        <v>67</v>
      </c>
      <c r="I130" s="47">
        <v>1999</v>
      </c>
      <c r="J130" s="48"/>
      <c r="K130" s="16"/>
      <c r="L130" s="16"/>
      <c r="M130" s="16"/>
    </row>
    <row r="131" spans="1:13" ht="14.25">
      <c r="A131" s="71" t="s">
        <v>191</v>
      </c>
      <c r="B131" s="45" t="s">
        <v>30</v>
      </c>
      <c r="C131" s="52"/>
      <c r="D131" s="57">
        <v>0.655</v>
      </c>
      <c r="E131" s="57">
        <v>3.11E-06</v>
      </c>
      <c r="F131" s="57">
        <v>0</v>
      </c>
      <c r="G131" s="43">
        <f>Ekvivalenttikertoimet!$B$6*Päästökertoimet!D131+Ekvivalenttikertoimet!$C$6*Päästökertoimet!E131+Ekvivalenttikertoimet!$D$6*Päästökertoimet!F131</f>
        <v>0.65592678</v>
      </c>
      <c r="H131" s="47" t="s">
        <v>33</v>
      </c>
      <c r="I131" s="47">
        <v>2000</v>
      </c>
      <c r="J131" s="48" t="s">
        <v>64</v>
      </c>
      <c r="K131" s="16"/>
      <c r="L131" s="16"/>
      <c r="M131" s="16"/>
    </row>
    <row r="132" spans="1:13" ht="14.25">
      <c r="A132" s="73" t="s">
        <v>213</v>
      </c>
      <c r="B132" s="45" t="s">
        <v>206</v>
      </c>
      <c r="C132" s="52"/>
      <c r="D132" s="57">
        <v>1.435271</v>
      </c>
      <c r="E132" s="57">
        <v>5.9499999999999996E-05</v>
      </c>
      <c r="F132" s="57">
        <v>0.00289235</v>
      </c>
      <c r="G132" s="43">
        <f>Ekvivalenttikertoimet!$B$6*Päästökertoimet!D132+Ekvivalenttikertoimet!$C$6*Päästökertoimet!E132+Ekvivalenttikertoimet!$D$6*Päästökertoimet!F132</f>
        <v>1.5253107499999998</v>
      </c>
      <c r="H132" s="47" t="s">
        <v>67</v>
      </c>
      <c r="I132" s="47">
        <v>1999</v>
      </c>
      <c r="J132" s="48"/>
      <c r="K132" s="16"/>
      <c r="L132" s="16"/>
      <c r="M132" s="16"/>
    </row>
    <row r="133" spans="1:13" ht="14.25">
      <c r="A133" s="71" t="s">
        <v>187</v>
      </c>
      <c r="B133" s="45" t="s">
        <v>30</v>
      </c>
      <c r="C133" s="52"/>
      <c r="D133" s="57">
        <v>1.13</v>
      </c>
      <c r="E133" s="57">
        <v>2.35E-07</v>
      </c>
      <c r="F133" s="57">
        <v>0</v>
      </c>
      <c r="G133" s="43">
        <f>Ekvivalenttikertoimet!$B$6*Päästökertoimet!D133+Ekvivalenttikertoimet!$C$6*Päästökertoimet!E133+Ekvivalenttikertoimet!$D$6*Päästökertoimet!F133</f>
        <v>1.13007003</v>
      </c>
      <c r="H133" s="47" t="s">
        <v>33</v>
      </c>
      <c r="I133" s="47">
        <v>2000</v>
      </c>
      <c r="J133" s="48" t="s">
        <v>61</v>
      </c>
      <c r="K133" s="16"/>
      <c r="L133" s="16"/>
      <c r="M133" s="16"/>
    </row>
    <row r="134" spans="1:13" ht="14.25">
      <c r="A134" s="71" t="s">
        <v>86</v>
      </c>
      <c r="B134" s="45" t="s">
        <v>38</v>
      </c>
      <c r="C134" s="49" t="s">
        <v>58</v>
      </c>
      <c r="D134" s="57">
        <v>0.89</v>
      </c>
      <c r="E134" s="57">
        <f>0.00562+0.01*44/28*0.27</f>
        <v>0.009862857142857144</v>
      </c>
      <c r="F134" s="57">
        <f>0.000865+0.27*0.01</f>
        <v>0.003565</v>
      </c>
      <c r="G134" s="43">
        <f>Ekvivalenttikertoimet!$B$6*Päästökertoimet!D134+Ekvivalenttikertoimet!$C$6*Päästökertoimet!E134+Ekvivalenttikertoimet!$D$6*Päästökertoimet!F134</f>
        <v>3.918256428571429</v>
      </c>
      <c r="H134" s="47" t="s">
        <v>41</v>
      </c>
      <c r="I134" s="47">
        <v>1999</v>
      </c>
      <c r="J134" s="48" t="s">
        <v>59</v>
      </c>
      <c r="K134" s="16"/>
      <c r="L134" s="16"/>
      <c r="M134" s="16"/>
    </row>
    <row r="135" spans="1:13" ht="14.25">
      <c r="A135" s="73" t="s">
        <v>197</v>
      </c>
      <c r="B135" s="45" t="s">
        <v>206</v>
      </c>
      <c r="C135" s="52"/>
      <c r="D135" s="57">
        <v>4.38E-05</v>
      </c>
      <c r="E135" s="57">
        <f>0.0189288+0.26*0.01</f>
        <v>0.0215288</v>
      </c>
      <c r="F135" s="57">
        <v>0.00641157</v>
      </c>
      <c r="G135" s="43">
        <f>Ekvivalenttikertoimet!$B$6*Päästökertoimet!D135+Ekvivalenttikertoimet!$C$6*Päästökertoimet!E135+Ekvivalenttikertoimet!$D$6*Päästökertoimet!F135</f>
        <v>6.57591545</v>
      </c>
      <c r="H135" s="47" t="s">
        <v>67</v>
      </c>
      <c r="I135" s="47">
        <v>1999</v>
      </c>
      <c r="J135" s="48"/>
      <c r="K135" s="16"/>
      <c r="L135" s="16"/>
      <c r="M135" s="16"/>
    </row>
    <row r="136" spans="1:13" ht="14.25">
      <c r="A136" s="73" t="s">
        <v>198</v>
      </c>
      <c r="B136" s="45" t="s">
        <v>206</v>
      </c>
      <c r="C136" s="52"/>
      <c r="D136" s="57">
        <v>4.7300000000000005E-05</v>
      </c>
      <c r="E136" s="57">
        <f>0.0000453+0.17*0.01</f>
        <v>0.0017453000000000002</v>
      </c>
      <c r="F136" s="57">
        <v>0.00799621</v>
      </c>
      <c r="G136" s="43">
        <f>Ekvivalenttikertoimet!$B$6*Päästökertoimet!D136+Ekvivalenttikertoimet!$C$6*Päästökertoimet!E136+Ekvivalenttikertoimet!$D$6*Päästökertoimet!F136</f>
        <v>0.7200519500000001</v>
      </c>
      <c r="H136" s="47" t="s">
        <v>67</v>
      </c>
      <c r="I136" s="47">
        <v>1998</v>
      </c>
      <c r="J136" s="48"/>
      <c r="K136" s="16"/>
      <c r="L136" s="16"/>
      <c r="M136" s="16"/>
    </row>
    <row r="137" spans="1:13" ht="14.25">
      <c r="A137" s="73" t="s">
        <v>204</v>
      </c>
      <c r="B137" s="45" t="s">
        <v>206</v>
      </c>
      <c r="C137" s="52"/>
      <c r="D137" s="57">
        <v>0.011177115999999999</v>
      </c>
      <c r="E137" s="57">
        <v>1.64E-07</v>
      </c>
      <c r="F137" s="57">
        <v>1.4999999999999999E-05</v>
      </c>
      <c r="G137" s="43">
        <f>Ekvivalenttikertoimet!$B$6*Päästökertoimet!D137+Ekvivalenttikertoimet!$C$6*Päästökertoimet!E137+Ekvivalenttikertoimet!$D$6*Päästökertoimet!F137</f>
        <v>0.011600988</v>
      </c>
      <c r="H137" s="47" t="s">
        <v>67</v>
      </c>
      <c r="I137" s="47">
        <v>2000</v>
      </c>
      <c r="J137" s="48"/>
      <c r="K137" s="16"/>
      <c r="L137" s="16"/>
      <c r="M137" s="16"/>
    </row>
    <row r="138" spans="1:13" ht="14.25">
      <c r="A138" s="73" t="s">
        <v>202</v>
      </c>
      <c r="B138" s="45" t="s">
        <v>206</v>
      </c>
      <c r="C138" s="52"/>
      <c r="D138" s="57">
        <v>0.002522</v>
      </c>
      <c r="E138" s="57">
        <v>4.28E-05</v>
      </c>
      <c r="F138" s="57">
        <v>0.00316779</v>
      </c>
      <c r="G138" s="43">
        <f>Ekvivalenttikertoimet!$B$6*Päästökertoimet!D138+Ekvivalenttikertoimet!$C$6*Päästökertoimet!E138+Ekvivalenttikertoimet!$D$6*Päästökertoimet!F138</f>
        <v>0.09447115</v>
      </c>
      <c r="H138" s="47" t="s">
        <v>67</v>
      </c>
      <c r="I138" s="47">
        <v>1999</v>
      </c>
      <c r="J138" s="48"/>
      <c r="K138" s="16"/>
      <c r="L138" s="16"/>
      <c r="M138" s="16"/>
    </row>
    <row r="139" spans="1:13" ht="14.25">
      <c r="A139" s="73" t="s">
        <v>203</v>
      </c>
      <c r="B139" s="45" t="s">
        <v>206</v>
      </c>
      <c r="C139" s="52"/>
      <c r="D139" s="57">
        <v>0.21787072000000002</v>
      </c>
      <c r="E139" s="57">
        <v>3.77E-06</v>
      </c>
      <c r="F139" s="57">
        <v>0.00047237200000000004</v>
      </c>
      <c r="G139" s="43">
        <f>Ekvivalenttikertoimet!$B$6*Päästökertoimet!D139+Ekvivalenttikertoimet!$C$6*Päästökertoimet!E139+Ekvivalenttikertoimet!$D$6*Päästökertoimet!F139</f>
        <v>0.23080348</v>
      </c>
      <c r="H139" s="47" t="s">
        <v>67</v>
      </c>
      <c r="I139" s="47">
        <v>2002</v>
      </c>
      <c r="J139" s="48"/>
      <c r="K139" s="16"/>
      <c r="L139" s="16"/>
      <c r="M139" s="16"/>
    </row>
    <row r="140" spans="1:13" ht="14.25">
      <c r="A140" s="73" t="s">
        <v>297</v>
      </c>
      <c r="B140" s="45" t="s">
        <v>206</v>
      </c>
      <c r="C140" s="52"/>
      <c r="D140" s="57">
        <v>6.6736</v>
      </c>
      <c r="E140" s="57">
        <v>0.00032157</v>
      </c>
      <c r="F140" s="57">
        <v>0.037763</v>
      </c>
      <c r="G140" s="43">
        <f>Ekvivalenttikertoimet!$B$6*Päästökertoimet!D140+Ekvivalenttikertoimet!$C$6*Päästökertoimet!E140+Ekvivalenttikertoimet!$D$6*Päästökertoimet!F140</f>
        <v>7.71350286</v>
      </c>
      <c r="H140" s="47" t="s">
        <v>66</v>
      </c>
      <c r="I140" s="47">
        <v>1998</v>
      </c>
      <c r="J140" s="48" t="s">
        <v>298</v>
      </c>
      <c r="K140" s="16"/>
      <c r="L140" s="16"/>
      <c r="M140" s="16"/>
    </row>
    <row r="141" spans="1:13" ht="14.25">
      <c r="A141" s="71" t="s">
        <v>193</v>
      </c>
      <c r="B141" s="45" t="s">
        <v>30</v>
      </c>
      <c r="C141" s="52"/>
      <c r="D141" s="57">
        <v>0.84</v>
      </c>
      <c r="E141" s="57">
        <v>4.3E-06</v>
      </c>
      <c r="F141" s="57">
        <v>0.00159</v>
      </c>
      <c r="G141" s="43">
        <f>Ekvivalenttikertoimet!$B$6*Päästökertoimet!D141+Ekvivalenttikertoimet!$C$6*Päästökertoimet!E141+Ekvivalenttikertoimet!$D$6*Päästökertoimet!F141</f>
        <v>0.8810313999999999</v>
      </c>
      <c r="H141" s="47" t="s">
        <v>33</v>
      </c>
      <c r="I141" s="47">
        <v>1998</v>
      </c>
      <c r="J141" s="48" t="s">
        <v>185</v>
      </c>
      <c r="K141" s="16"/>
      <c r="L141" s="16"/>
      <c r="M141" s="16"/>
    </row>
    <row r="142" spans="1:13" ht="14.25">
      <c r="A142" s="71" t="s">
        <v>390</v>
      </c>
      <c r="B142" s="45"/>
      <c r="C142" s="52"/>
      <c r="D142" s="57">
        <f>D143*0.11</f>
        <v>0.2926</v>
      </c>
      <c r="E142" s="57">
        <f>E143*0.11</f>
        <v>0.0017330814285714286</v>
      </c>
      <c r="F142" s="57">
        <f>F143*0.11</f>
        <v>0.0006897011000000001</v>
      </c>
      <c r="G142" s="43">
        <f>Ekvivalenttikertoimet!$B$6*Päästökertoimet!D142+Ekvivalenttikertoimet!$C$6*Päästökertoimet!E142+Ekvivalenttikertoimet!$D$6*Päästökertoimet!F142</f>
        <v>0.8263007932142857</v>
      </c>
      <c r="H142" s="47"/>
      <c r="I142" s="47"/>
      <c r="J142" s="48"/>
      <c r="K142" s="16"/>
      <c r="L142" s="16"/>
      <c r="M142" s="16"/>
    </row>
    <row r="143" spans="1:13" ht="14.25">
      <c r="A143" s="73" t="s">
        <v>209</v>
      </c>
      <c r="B143" s="45" t="s">
        <v>206</v>
      </c>
      <c r="C143" s="52"/>
      <c r="D143" s="57">
        <v>2.66</v>
      </c>
      <c r="E143" s="57">
        <f>0.000041+0.01*44/28</f>
        <v>0.015755285714285715</v>
      </c>
      <c r="F143" s="57">
        <v>0.00627001</v>
      </c>
      <c r="G143" s="43">
        <f>Ekvivalenttikertoimet!$B$6*Päästökertoimet!D143+Ekvivalenttikertoimet!$C$6*Päästökertoimet!E143+Ekvivalenttikertoimet!$D$6*Päästökertoimet!F143</f>
        <v>7.511825392857143</v>
      </c>
      <c r="H143" s="47" t="s">
        <v>67</v>
      </c>
      <c r="I143" s="47">
        <v>1999</v>
      </c>
      <c r="J143" s="48"/>
      <c r="K143" s="16"/>
      <c r="L143" s="16"/>
      <c r="M143" s="16"/>
    </row>
    <row r="144" spans="1:13" ht="14.25">
      <c r="A144" s="73" t="s">
        <v>210</v>
      </c>
      <c r="B144" s="45" t="s">
        <v>206</v>
      </c>
      <c r="C144" s="52"/>
      <c r="D144" s="57">
        <v>1.53</v>
      </c>
      <c r="E144" s="57">
        <f>0.0000257+0.01*0.028*44/28</f>
        <v>0.0004657</v>
      </c>
      <c r="F144" s="57">
        <v>0.00231</v>
      </c>
      <c r="G144" s="43">
        <f>Ekvivalenttikertoimet!$B$6*Päästökertoimet!D144+Ekvivalenttikertoimet!$C$6*Päästökertoimet!E144+Ekvivalenttikertoimet!$D$6*Päästökertoimet!F144</f>
        <v>1.7265286</v>
      </c>
      <c r="H144" s="47" t="s">
        <v>67</v>
      </c>
      <c r="I144" s="47">
        <v>1999</v>
      </c>
      <c r="J144" s="48"/>
      <c r="K144" s="16"/>
      <c r="L144" s="16"/>
      <c r="M144" s="16"/>
    </row>
    <row r="145" spans="1:13" ht="14.25">
      <c r="A145" s="71" t="s">
        <v>65</v>
      </c>
      <c r="B145" s="45" t="s">
        <v>30</v>
      </c>
      <c r="C145" s="52"/>
      <c r="D145" s="57">
        <v>0.468</v>
      </c>
      <c r="E145" s="57">
        <v>0.000236</v>
      </c>
      <c r="F145" s="57">
        <v>0.000839</v>
      </c>
      <c r="G145" s="43">
        <f>Ekvivalenttikertoimet!$B$6*Päästökertoimet!D145+Ekvivalenttikertoimet!$C$6*Päästökertoimet!E145+Ekvivalenttikertoimet!$D$6*Päästökertoimet!F145</f>
        <v>0.559303</v>
      </c>
      <c r="H145" s="47" t="s">
        <v>33</v>
      </c>
      <c r="I145" s="47">
        <v>1998</v>
      </c>
      <c r="J145" s="48" t="s">
        <v>34</v>
      </c>
      <c r="K145" s="16"/>
      <c r="L145" s="16"/>
      <c r="M145" s="16"/>
    </row>
    <row r="146" spans="1:13" ht="14.25">
      <c r="A146" s="72" t="s">
        <v>39</v>
      </c>
      <c r="B146" s="45" t="s">
        <v>38</v>
      </c>
      <c r="C146" s="49" t="s">
        <v>40</v>
      </c>
      <c r="D146" s="57">
        <v>0.668</v>
      </c>
      <c r="E146" s="57">
        <f>0.0033+0.21*0.01*44/28</f>
        <v>0.0066</v>
      </c>
      <c r="F146" s="57">
        <v>0.000664</v>
      </c>
      <c r="G146" s="43">
        <f>Ekvivalenttikertoimet!$B$6*Päästökertoimet!D146+Ekvivalenttikertoimet!$C$6*Päästökertoimet!E146+Ekvivalenttikertoimet!$D$6*Päästökertoimet!F146</f>
        <v>2.6513999999999998</v>
      </c>
      <c r="H146" s="47" t="s">
        <v>41</v>
      </c>
      <c r="I146" s="47">
        <v>1999</v>
      </c>
      <c r="J146" s="51" t="s">
        <v>42</v>
      </c>
      <c r="K146" s="16"/>
      <c r="L146" s="16"/>
      <c r="M146" s="16"/>
    </row>
    <row r="147" spans="1:13" ht="14.25">
      <c r="A147" s="70" t="s">
        <v>21</v>
      </c>
      <c r="B147" s="41" t="s">
        <v>27</v>
      </c>
      <c r="C147" s="42" t="s">
        <v>81</v>
      </c>
      <c r="D147" s="44">
        <v>0.305104841872125</v>
      </c>
      <c r="E147" s="44">
        <f>0.0000768582403385196+0.06*0.01*44/28</f>
        <v>0.0010197153831956623</v>
      </c>
      <c r="F147" s="44">
        <v>0.0007703902681038043</v>
      </c>
      <c r="G147" s="43">
        <f>Ekvivalenttikertoimet!$B$6*Päästökertoimet!D147+Ekvivalenttikertoimet!$C$6*Päästökertoimet!E147+Ekvivalenttikertoimet!$D$6*Päästökertoimet!F147</f>
        <v>0.6282397827670274</v>
      </c>
      <c r="H147" s="44" t="s">
        <v>27</v>
      </c>
      <c r="I147" s="41"/>
      <c r="J147" s="41"/>
      <c r="K147" s="16"/>
      <c r="L147" s="16"/>
      <c r="M147" s="16"/>
    </row>
    <row r="148" spans="1:13" ht="14.25">
      <c r="A148" s="70" t="s">
        <v>20</v>
      </c>
      <c r="B148" s="41" t="s">
        <v>27</v>
      </c>
      <c r="C148" s="42" t="s">
        <v>80</v>
      </c>
      <c r="D148" s="44">
        <v>0.356823331051338</v>
      </c>
      <c r="E148" s="44">
        <f>0.000112526116555455+0.08*0.01*44/28</f>
        <v>0.0013696689736983122</v>
      </c>
      <c r="F148" s="44">
        <v>0.0009229115489151826</v>
      </c>
      <c r="G148" s="43">
        <f>Ekvivalenttikertoimet!$B$6*Päästökertoimet!D148+Ekvivalenttikertoimet!$C$6*Päästökertoimet!E148+Ekvivalenttikertoimet!$D$6*Päästökertoimet!F148</f>
        <v>0.7880574739363145</v>
      </c>
      <c r="H148" s="44" t="s">
        <v>27</v>
      </c>
      <c r="I148" s="41"/>
      <c r="J148" s="41"/>
      <c r="K148" s="16"/>
      <c r="L148" s="16"/>
      <c r="M148" s="16"/>
    </row>
    <row r="149" spans="1:13" ht="14.25">
      <c r="A149" s="70" t="s">
        <v>22</v>
      </c>
      <c r="B149" s="41" t="s">
        <v>27</v>
      </c>
      <c r="C149" s="42" t="s">
        <v>82</v>
      </c>
      <c r="D149" s="44">
        <v>0.422134764434937</v>
      </c>
      <c r="E149" s="44">
        <f>0.000176174170865492+0.11*0.01*44/28</f>
        <v>0.0019047455994369207</v>
      </c>
      <c r="F149" s="44">
        <v>0.0011292289791231217</v>
      </c>
      <c r="G149" s="43">
        <f>Ekvivalenttikertoimet!$B$6*Päästökertoimet!D149+Ekvivalenttikertoimet!$C$6*Päästökertoimet!E149+Ekvivalenttikertoimet!$D$6*Päästökertoimet!F149</f>
        <v>1.0179796775452175</v>
      </c>
      <c r="H149" s="44" t="s">
        <v>27</v>
      </c>
      <c r="I149" s="41"/>
      <c r="J149" s="41"/>
      <c r="K149" s="16"/>
      <c r="L149" s="16"/>
      <c r="M149" s="16"/>
    </row>
    <row r="150" spans="1:13" ht="14.25">
      <c r="A150" s="70" t="s">
        <v>23</v>
      </c>
      <c r="B150" s="41" t="s">
        <v>27</v>
      </c>
      <c r="C150" s="42" t="s">
        <v>83</v>
      </c>
      <c r="D150" s="44">
        <v>0.442587732343321</v>
      </c>
      <c r="E150" s="44">
        <f>0.000206190986257364+0.12*0.01*44/28</f>
        <v>0.0020919052719716494</v>
      </c>
      <c r="F150" s="44">
        <v>0.0011913041346021957</v>
      </c>
      <c r="G150" s="43">
        <f>Ekvivalenttikertoimet!$B$6*Päästökertoimet!D150+Ekvivalenttikertoimet!$C$6*Päästökertoimet!E150+Ekvivalenttikertoimet!$D$6*Päästökertoimet!F150</f>
        <v>1.0957581067559272</v>
      </c>
      <c r="H150" s="44" t="s">
        <v>27</v>
      </c>
      <c r="I150" s="41"/>
      <c r="J150" s="41"/>
      <c r="K150" s="16"/>
      <c r="L150" s="16"/>
      <c r="M150" s="16"/>
    </row>
    <row r="151" spans="1:13" ht="14.25">
      <c r="A151" s="70" t="s">
        <v>24</v>
      </c>
      <c r="B151" s="41" t="s">
        <v>27</v>
      </c>
      <c r="C151" s="42" t="s">
        <v>84</v>
      </c>
      <c r="D151" s="44">
        <v>0.399031808511681</v>
      </c>
      <c r="E151" s="44">
        <f>0.000183597836634556+0.01*44/28*0.01</f>
        <v>0.0003407406937774132</v>
      </c>
      <c r="F151" s="44">
        <v>0.0010991298864735217</v>
      </c>
      <c r="G151" s="43">
        <f>Ekvivalenttikertoimet!$B$6*Päästökertoimet!D151+Ekvivalenttikertoimet!$C$6*Päästökertoimet!E151+Ekvivalenttikertoimet!$D$6*Päästökertoimet!F151</f>
        <v>0.5280507824191881</v>
      </c>
      <c r="H151" s="44" t="s">
        <v>27</v>
      </c>
      <c r="I151" s="41"/>
      <c r="J151" s="41"/>
      <c r="K151" s="16"/>
      <c r="L151" s="16"/>
      <c r="M151" s="16"/>
    </row>
    <row r="152" spans="1:13" ht="14.25">
      <c r="A152" s="70" t="s">
        <v>25</v>
      </c>
      <c r="B152" s="41" t="s">
        <v>27</v>
      </c>
      <c r="C152" s="42" t="s">
        <v>85</v>
      </c>
      <c r="D152" s="44">
        <v>0.496267552911507</v>
      </c>
      <c r="E152" s="44">
        <f>0.000287985995374911+0.14*0.01*44/28</f>
        <v>0.0024879859953749113</v>
      </c>
      <c r="F152" s="44">
        <v>0.001430356135705574</v>
      </c>
      <c r="G152" s="43">
        <f>Ekvivalenttikertoimet!$B$6*Päästökertoimet!D152+Ekvivalenttikertoimet!$C$6*Päästökertoimet!E152+Ekvivalenttikertoimet!$D$6*Päästökertoimet!F152</f>
        <v>1.27344628292587</v>
      </c>
      <c r="H152" s="44" t="s">
        <v>27</v>
      </c>
      <c r="I152" s="41"/>
      <c r="J152" s="41"/>
      <c r="K152" s="16"/>
      <c r="L152" s="16"/>
      <c r="M152" s="16"/>
    </row>
    <row r="153" spans="1:13" ht="14.25">
      <c r="A153" s="70" t="s">
        <v>14</v>
      </c>
      <c r="B153" s="41" t="s">
        <v>27</v>
      </c>
      <c r="C153" s="42" t="s">
        <v>74</v>
      </c>
      <c r="D153" s="44">
        <v>0.656026956892275</v>
      </c>
      <c r="E153" s="44">
        <f>0.000297383757644488+0.18*0.01*44/28</f>
        <v>0.003125955186215916</v>
      </c>
      <c r="F153" s="44">
        <v>0.0015273784931823435</v>
      </c>
      <c r="G153" s="43">
        <f>Ekvivalenttikertoimet!$B$6*Päästökertoimet!D153+Ekvivalenttikertoimet!$C$6*Päästökertoimet!E153+Ekvivalenttikertoimet!$D$6*Päästökertoimet!F153</f>
        <v>1.6257460647141766</v>
      </c>
      <c r="H153" s="41" t="s">
        <v>27</v>
      </c>
      <c r="I153" s="41"/>
      <c r="J153" s="41"/>
      <c r="K153" s="16"/>
      <c r="L153" s="16"/>
      <c r="M153" s="16"/>
    </row>
    <row r="154" spans="1:13" ht="14.25">
      <c r="A154" s="70" t="s">
        <v>15</v>
      </c>
      <c r="B154" s="41" t="s">
        <v>27</v>
      </c>
      <c r="C154" s="42" t="s">
        <v>76</v>
      </c>
      <c r="D154" s="44">
        <v>0.674032084006463</v>
      </c>
      <c r="E154" s="44">
        <f>0.000403067573027838+0.23*0.01*44/28</f>
        <v>0.004017353287313553</v>
      </c>
      <c r="F154" s="44">
        <v>0.0017395084173309828</v>
      </c>
      <c r="G154" s="43">
        <f>Ekvivalenttikertoimet!$B$6*Päästökertoimet!D154+Ekvivalenttikertoimet!$C$6*Päästökertoimet!E154+Ekvivalenttikertoimet!$D$6*Päästökertoimet!F154</f>
        <v>1.9146910740591763</v>
      </c>
      <c r="H154" s="41" t="s">
        <v>27</v>
      </c>
      <c r="I154" s="41"/>
      <c r="J154" s="41"/>
      <c r="K154" s="16"/>
      <c r="L154" s="16"/>
      <c r="M154" s="16"/>
    </row>
    <row r="155" spans="1:13" ht="14.25">
      <c r="A155" s="70" t="s">
        <v>16</v>
      </c>
      <c r="B155" s="41" t="s">
        <v>27</v>
      </c>
      <c r="C155" s="42" t="s">
        <v>77</v>
      </c>
      <c r="D155" s="44">
        <v>0.74477271749312</v>
      </c>
      <c r="E155" s="44">
        <f>0.000435159068069973+0.24*0.01*44728</f>
        <v>107.34763515906806</v>
      </c>
      <c r="F155" s="44">
        <v>0.0018827079123295695</v>
      </c>
      <c r="G155" s="43">
        <f>Ekvivalenttikertoimet!$B$6*Päästökertoimet!D155+Ekvivalenttikertoimet!$C$6*Päästökertoimet!E155+Ekvivalenttikertoimet!$D$6*Päästökertoimet!F155</f>
        <v>31990.387117817583</v>
      </c>
      <c r="H155" s="41" t="s">
        <v>27</v>
      </c>
      <c r="I155" s="41"/>
      <c r="J155" s="41"/>
      <c r="K155" s="16"/>
      <c r="L155" s="16"/>
      <c r="M155" s="16"/>
    </row>
    <row r="156" spans="1:13" ht="14.25">
      <c r="A156" s="70" t="s">
        <v>17</v>
      </c>
      <c r="B156" s="41" t="s">
        <v>27</v>
      </c>
      <c r="C156" s="42" t="s">
        <v>78</v>
      </c>
      <c r="D156" s="44">
        <v>0.784571413088619</v>
      </c>
      <c r="E156" s="44">
        <f>0.000498094818262753+0.26*0.01*44/28</f>
        <v>0.004583809103977039</v>
      </c>
      <c r="F156" s="44">
        <v>0.0020331981591386523</v>
      </c>
      <c r="G156" s="43">
        <f>Ekvivalenttikertoimet!$B$6*Päästökertoimet!D156+Ekvivalenttikertoimet!$C$6*Päästökertoimet!E156+Ekvivalenttikertoimet!$D$6*Päästökertoimet!F156</f>
        <v>2.201376480052243</v>
      </c>
      <c r="H156" s="41" t="s">
        <v>27</v>
      </c>
      <c r="I156" s="41"/>
      <c r="J156" s="41"/>
      <c r="K156" s="16"/>
      <c r="L156" s="16"/>
      <c r="M156" s="16"/>
    </row>
    <row r="157" spans="1:13" ht="14.25">
      <c r="A157" s="70" t="s">
        <v>19</v>
      </c>
      <c r="B157" s="41" t="s">
        <v>27</v>
      </c>
      <c r="C157" s="42" t="s">
        <v>79</v>
      </c>
      <c r="D157" s="44">
        <v>0.643054612053125</v>
      </c>
      <c r="E157" s="44">
        <f>0.000377034610076429+0.2*0.01*44/28</f>
        <v>0.0035198917529335716</v>
      </c>
      <c r="F157" s="44">
        <v>0.001622926972443261</v>
      </c>
      <c r="G157" s="43">
        <f>Ekvivalenttikertoimet!$B$6*Päästökertoimet!D157+Ekvivalenttikertoimet!$C$6*Päästökertoimet!E157+Ekvivalenttikertoimet!$D$6*Päästökertoimet!F157</f>
        <v>1.7325555287384107</v>
      </c>
      <c r="H157" s="41" t="s">
        <v>27</v>
      </c>
      <c r="I157" s="41"/>
      <c r="J157" s="41"/>
      <c r="K157" s="16"/>
      <c r="L157" s="16"/>
      <c r="M157" s="16"/>
    </row>
    <row r="158" spans="1:13" ht="14.25">
      <c r="A158" s="70" t="s">
        <v>18</v>
      </c>
      <c r="B158" s="41" t="s">
        <v>27</v>
      </c>
      <c r="C158" s="42" t="s">
        <v>58</v>
      </c>
      <c r="D158" s="44">
        <v>0.779300272634344</v>
      </c>
      <c r="E158" s="44">
        <f>0.000509202031923834+0.27*0.01*44728</f>
        <v>120.76610920203193</v>
      </c>
      <c r="F158" s="44">
        <v>0.002079212609753722</v>
      </c>
      <c r="G158" s="43">
        <f>Ekvivalenttikertoimet!$B$6*Päästökertoimet!D158+Ekvivalenttikertoimet!$C$6*Päästökertoimet!E158+Ekvivalenttikertoimet!$D$6*Päästökertoimet!F158</f>
        <v>35989.13182279339</v>
      </c>
      <c r="H158" s="41" t="s">
        <v>27</v>
      </c>
      <c r="I158" s="41"/>
      <c r="J158" s="41"/>
      <c r="K158" s="16"/>
      <c r="L158" s="16"/>
      <c r="M158" s="16"/>
    </row>
    <row r="159" spans="1:13" ht="14.25">
      <c r="A159" s="71" t="s">
        <v>31</v>
      </c>
      <c r="B159" s="45" t="s">
        <v>30</v>
      </c>
      <c r="C159" s="49" t="s">
        <v>32</v>
      </c>
      <c r="D159" s="57">
        <v>0.302</v>
      </c>
      <c r="E159" s="57">
        <v>3.95E-06</v>
      </c>
      <c r="F159" s="57">
        <v>5.46428E-05</v>
      </c>
      <c r="G159" s="43">
        <f>Ekvivalenttikertoimet!$B$6*Päästökertoimet!D159+Ekvivalenttikertoimet!$C$6*Päästökertoimet!E159+Ekvivalenttikertoimet!$D$6*Päästökertoimet!F159</f>
        <v>0.30454317</v>
      </c>
      <c r="H159" s="47" t="s">
        <v>33</v>
      </c>
      <c r="I159" s="47">
        <v>1998</v>
      </c>
      <c r="J159" s="51" t="s">
        <v>34</v>
      </c>
      <c r="K159" s="16"/>
      <c r="L159" s="16"/>
      <c r="M159" s="16"/>
    </row>
    <row r="160" spans="1:13" ht="14.25">
      <c r="A160" s="72" t="s">
        <v>35</v>
      </c>
      <c r="B160" s="45" t="s">
        <v>30</v>
      </c>
      <c r="C160" s="49" t="s">
        <v>36</v>
      </c>
      <c r="D160" s="57">
        <v>0.329</v>
      </c>
      <c r="E160" s="57">
        <v>0.0025099999999999996</v>
      </c>
      <c r="F160" s="57">
        <v>0.000166</v>
      </c>
      <c r="G160" s="43">
        <f>Ekvivalenttikertoimet!$B$6*Päästökertoimet!D160+Ekvivalenttikertoimet!$C$6*Päästökertoimet!E160+Ekvivalenttikertoimet!$D$6*Päästökertoimet!F160</f>
        <v>1.08113</v>
      </c>
      <c r="H160" s="47" t="s">
        <v>33</v>
      </c>
      <c r="I160" s="47">
        <v>1999</v>
      </c>
      <c r="J160" s="51" t="s">
        <v>37</v>
      </c>
      <c r="K160" s="16"/>
      <c r="L160" s="16"/>
      <c r="M160" s="16"/>
    </row>
    <row r="161" spans="1:13" ht="14.25">
      <c r="A161" s="71" t="s">
        <v>43</v>
      </c>
      <c r="B161" s="45" t="s">
        <v>30</v>
      </c>
      <c r="C161" s="46" t="s">
        <v>44</v>
      </c>
      <c r="D161" s="57">
        <v>0.326</v>
      </c>
      <c r="E161" s="57">
        <v>0.00282</v>
      </c>
      <c r="F161" s="57">
        <v>0.000126</v>
      </c>
      <c r="G161" s="43">
        <f>Ekvivalenttikertoimet!$B$6*Päästökertoimet!D161+Ekvivalenttikertoimet!$C$6*Päästökertoimet!E161+Ekvivalenttikertoimet!$D$6*Päästökertoimet!F161</f>
        <v>1.16951</v>
      </c>
      <c r="H161" s="47" t="s">
        <v>33</v>
      </c>
      <c r="I161" s="47">
        <v>1998</v>
      </c>
      <c r="J161" s="48" t="s">
        <v>34</v>
      </c>
      <c r="K161" s="16"/>
      <c r="L161" s="16"/>
      <c r="M161" s="16"/>
    </row>
    <row r="162" spans="1:13" ht="14.25">
      <c r="A162" s="72" t="s">
        <v>43</v>
      </c>
      <c r="B162" s="45" t="s">
        <v>45</v>
      </c>
      <c r="C162" s="49"/>
      <c r="D162" s="57">
        <v>0.49319999999999997</v>
      </c>
      <c r="E162" s="57">
        <v>0.0015096</v>
      </c>
      <c r="F162" s="57">
        <v>0.00012670000000000002</v>
      </c>
      <c r="G162" s="43">
        <f>Ekvivalenttikertoimet!$B$6*Päästökertoimet!D162+Ekvivalenttikertoimet!$C$6*Päästökertoimet!E162+Ekvivalenttikertoimet!$D$6*Päästökertoimet!F162</f>
        <v>0.9462283</v>
      </c>
      <c r="H162" s="47" t="s">
        <v>41</v>
      </c>
      <c r="I162" s="50" t="s">
        <v>46</v>
      </c>
      <c r="J162" s="51"/>
      <c r="K162" s="16"/>
      <c r="L162" s="16"/>
      <c r="M162" s="16"/>
    </row>
    <row r="163" spans="1:13" ht="14.25">
      <c r="A163" s="71" t="s">
        <v>47</v>
      </c>
      <c r="B163" s="45" t="s">
        <v>30</v>
      </c>
      <c r="C163" s="46" t="s">
        <v>48</v>
      </c>
      <c r="D163" s="57">
        <v>0.303</v>
      </c>
      <c r="E163" s="57">
        <v>0.00285</v>
      </c>
      <c r="F163" s="57">
        <v>7.81E-05</v>
      </c>
      <c r="G163" s="43">
        <f>Ekvivalenttikertoimet!$B$6*Päästökertoimet!D163+Ekvivalenttikertoimet!$C$6*Päästökertoimet!E163+Ekvivalenttikertoimet!$D$6*Päästökertoimet!F163</f>
        <v>1.1542525000000001</v>
      </c>
      <c r="H163" s="47" t="s">
        <v>33</v>
      </c>
      <c r="I163" s="47">
        <v>1998</v>
      </c>
      <c r="J163" s="48" t="s">
        <v>34</v>
      </c>
      <c r="K163" s="16"/>
      <c r="L163" s="16"/>
      <c r="M163" s="16"/>
    </row>
    <row r="164" spans="1:13" ht="14.25">
      <c r="A164" s="71" t="s">
        <v>49</v>
      </c>
      <c r="B164" s="45" t="s">
        <v>30</v>
      </c>
      <c r="C164" s="49"/>
      <c r="D164" s="57">
        <v>0.391</v>
      </c>
      <c r="E164" s="57">
        <v>0.00138</v>
      </c>
      <c r="F164" s="57">
        <v>0.000314</v>
      </c>
      <c r="G164" s="43">
        <f>Ekvivalenttikertoimet!$B$6*Päästökertoimet!D164+Ekvivalenttikertoimet!$C$6*Päästökertoimet!E164+Ekvivalenttikertoimet!$D$6*Päästökertoimet!F164</f>
        <v>0.8100900000000001</v>
      </c>
      <c r="H164" s="47" t="s">
        <v>33</v>
      </c>
      <c r="I164" s="47">
        <v>1999</v>
      </c>
      <c r="J164" s="48" t="s">
        <v>37</v>
      </c>
      <c r="K164" s="16"/>
      <c r="L164" s="16"/>
      <c r="M164" s="16"/>
    </row>
    <row r="165" spans="1:13" ht="14.25">
      <c r="A165" s="71" t="s">
        <v>189</v>
      </c>
      <c r="B165" s="45" t="s">
        <v>30</v>
      </c>
      <c r="C165" s="52"/>
      <c r="D165" s="57">
        <v>0.015300000000000001</v>
      </c>
      <c r="E165" s="57">
        <v>3.69E-05</v>
      </c>
      <c r="F165" s="57">
        <v>4.75E-07</v>
      </c>
      <c r="G165" s="43">
        <f>Ekvivalenttikertoimet!$B$6*Päästökertoimet!D165+Ekvivalenttikertoimet!$C$6*Päästökertoimet!E165+Ekvivalenttikertoimet!$D$6*Päästökertoimet!F165</f>
        <v>0.026308075000000004</v>
      </c>
      <c r="H165" s="47" t="s">
        <v>33</v>
      </c>
      <c r="I165" s="47">
        <v>1996</v>
      </c>
      <c r="J165" s="48" t="s">
        <v>62</v>
      </c>
      <c r="K165" s="16"/>
      <c r="L165" s="16"/>
      <c r="M165" s="16"/>
    </row>
    <row r="166" spans="1:13" ht="14.25">
      <c r="A166" s="71" t="s">
        <v>89</v>
      </c>
      <c r="B166" s="45" t="s">
        <v>45</v>
      </c>
      <c r="C166" s="49"/>
      <c r="D166" s="57">
        <v>0.44789999999999996</v>
      </c>
      <c r="E166" s="57">
        <f>0.0016977+0.27*0.01*44/28</f>
        <v>0.005940557142857143</v>
      </c>
      <c r="F166" s="57">
        <v>6E-07</v>
      </c>
      <c r="G166" s="43">
        <f>Ekvivalenttikertoimet!$B$6*Päästökertoimet!D166+Ekvivalenttikertoimet!$C$6*Päästökertoimet!E166+Ekvivalenttikertoimet!$D$6*Päästökertoimet!F166</f>
        <v>2.2182010285714284</v>
      </c>
      <c r="H166" s="47" t="s">
        <v>41</v>
      </c>
      <c r="I166" s="50" t="s">
        <v>46</v>
      </c>
      <c r="J166" s="48"/>
      <c r="K166" s="16"/>
      <c r="L166" s="16"/>
      <c r="M166" s="16"/>
    </row>
    <row r="167" spans="1:13" ht="14.25">
      <c r="A167" s="71" t="s">
        <v>50</v>
      </c>
      <c r="B167" s="45" t="s">
        <v>30</v>
      </c>
      <c r="C167" s="46" t="s">
        <v>51</v>
      </c>
      <c r="D167" s="57">
        <v>0.245</v>
      </c>
      <c r="E167" s="57">
        <f>0.00366+0.01*0.27*44728</f>
        <v>120.76926</v>
      </c>
      <c r="F167" s="57">
        <v>7.51E-06</v>
      </c>
      <c r="G167" s="43">
        <f>Ekvivalenttikertoimet!$B$6*Päästökertoimet!D167+Ekvivalenttikertoimet!$C$6*Päästökertoimet!E167+Ekvivalenttikertoimet!$D$6*Päästökertoimet!F167</f>
        <v>35989.48466775001</v>
      </c>
      <c r="H167" s="47" t="s">
        <v>33</v>
      </c>
      <c r="I167" s="47">
        <v>2000</v>
      </c>
      <c r="J167" s="48" t="s">
        <v>37</v>
      </c>
      <c r="K167" s="16"/>
      <c r="L167" s="16"/>
      <c r="M167" s="16"/>
    </row>
    <row r="168" spans="1:13" ht="14.25">
      <c r="A168" s="73" t="s">
        <v>201</v>
      </c>
      <c r="B168" s="45" t="s">
        <v>30</v>
      </c>
      <c r="C168" s="49" t="s">
        <v>56</v>
      </c>
      <c r="D168" s="57">
        <v>0.0423</v>
      </c>
      <c r="E168" s="57">
        <v>2.2E-05</v>
      </c>
      <c r="F168" s="57">
        <v>5.7899999999999996E-08</v>
      </c>
      <c r="G168" s="43">
        <f>Ekvivalenttikertoimet!$B$6*Päästökertoimet!D168+Ekvivalenttikertoimet!$C$6*Päästökertoimet!E168+Ekvivalenttikertoimet!$D$6*Päästökertoimet!F168</f>
        <v>0.0488574475</v>
      </c>
      <c r="H168" s="47" t="s">
        <v>33</v>
      </c>
      <c r="I168" s="47">
        <v>1998</v>
      </c>
      <c r="J168" s="48" t="s">
        <v>57</v>
      </c>
      <c r="K168" s="16"/>
      <c r="L168" s="16"/>
      <c r="M168" s="16"/>
    </row>
    <row r="169" spans="1:13" ht="14.25">
      <c r="A169" s="71" t="s">
        <v>393</v>
      </c>
      <c r="B169" s="45"/>
      <c r="C169" s="49"/>
      <c r="D169" s="57">
        <f>D170*0.21</f>
        <v>0.5207999999999999</v>
      </c>
      <c r="E169" s="57">
        <f>E170*0.21</f>
        <v>1.5624E-05</v>
      </c>
      <c r="F169" s="57">
        <f>F170*0.21</f>
        <v>0.000798</v>
      </c>
      <c r="G169" s="57">
        <f>G170*0.21</f>
        <v>0.545405952</v>
      </c>
      <c r="H169" s="47"/>
      <c r="I169" s="47"/>
      <c r="J169" s="48"/>
      <c r="K169" s="16"/>
      <c r="L169" s="16"/>
      <c r="M169" s="16"/>
    </row>
    <row r="170" spans="1:13" ht="14.25">
      <c r="A170" s="71" t="s">
        <v>391</v>
      </c>
      <c r="B170" s="45" t="s">
        <v>206</v>
      </c>
      <c r="C170" s="52"/>
      <c r="D170" s="57">
        <v>2.48</v>
      </c>
      <c r="E170" s="57">
        <v>7.44E-05</v>
      </c>
      <c r="F170" s="57">
        <v>0.0038</v>
      </c>
      <c r="G170" s="43">
        <f>Ekvivalenttikertoimet!$B$6*Päästökertoimet!D170+Ekvivalenttikertoimet!$C$6*Päästökertoimet!E170+Ekvivalenttikertoimet!$D$6*Päästökertoimet!F170</f>
        <v>2.5971712</v>
      </c>
      <c r="H170" s="47" t="s">
        <v>67</v>
      </c>
      <c r="I170" s="47">
        <v>1999</v>
      </c>
      <c r="J170" s="48"/>
      <c r="K170" s="16"/>
      <c r="L170" s="16"/>
      <c r="M170" s="16"/>
    </row>
    <row r="171" spans="1:12" ht="14.25">
      <c r="A171" s="71" t="s">
        <v>190</v>
      </c>
      <c r="B171" s="45" t="s">
        <v>30</v>
      </c>
      <c r="C171" s="49"/>
      <c r="D171" s="57">
        <v>0.125</v>
      </c>
      <c r="E171" s="57">
        <v>2.37E-06</v>
      </c>
      <c r="F171" s="57">
        <v>0</v>
      </c>
      <c r="G171" s="43">
        <f>Ekvivalenttikertoimet!$B$6*Päästökertoimet!D171+Ekvivalenttikertoimet!$C$6*Päästökertoimet!E171+Ekvivalenttikertoimet!$D$6*Päästökertoimet!F171</f>
        <v>0.12570626</v>
      </c>
      <c r="H171" s="47" t="s">
        <v>33</v>
      </c>
      <c r="I171" s="47">
        <v>1998</v>
      </c>
      <c r="J171" s="48" t="s">
        <v>63</v>
      </c>
      <c r="K171" s="16"/>
      <c r="L171" s="16"/>
    </row>
    <row r="172" spans="1:13" ht="14.25">
      <c r="A172" s="71" t="s">
        <v>192</v>
      </c>
      <c r="B172" s="45" t="s">
        <v>30</v>
      </c>
      <c r="C172" s="52"/>
      <c r="D172" s="57">
        <v>0.153</v>
      </c>
      <c r="E172" s="57">
        <v>0.00725</v>
      </c>
      <c r="F172" s="57">
        <v>4.15E-10</v>
      </c>
      <c r="G172" s="43">
        <f>Ekvivalenttikertoimet!$B$6*Päästökertoimet!D172+Ekvivalenttikertoimet!$C$6*Päästökertoimet!E172+Ekvivalenttikertoimet!$D$6*Päästökertoimet!F172</f>
        <v>2.3135000103750003</v>
      </c>
      <c r="H172" s="47" t="s">
        <v>33</v>
      </c>
      <c r="I172" s="47">
        <v>1998</v>
      </c>
      <c r="J172" s="48" t="s">
        <v>34</v>
      </c>
      <c r="K172" s="16"/>
      <c r="L172" s="16"/>
      <c r="M172" s="16"/>
    </row>
    <row r="173" spans="1:13" ht="14.25">
      <c r="A173" s="71" t="s">
        <v>54</v>
      </c>
      <c r="B173" s="45" t="s">
        <v>30</v>
      </c>
      <c r="C173" s="46" t="s">
        <v>55</v>
      </c>
      <c r="D173" s="57">
        <v>0.484</v>
      </c>
      <c r="E173" s="57">
        <f>0.00128+0.01*44/28*14/(14+1*16*3)</f>
        <v>0.0048283870967741945</v>
      </c>
      <c r="F173" s="57">
        <v>0.000462</v>
      </c>
      <c r="G173" s="43">
        <f>Ekvivalenttikertoimet!$B$6*Päästökertoimet!D173+Ekvivalenttikertoimet!$C$6*Päästökertoimet!E173+Ekvivalenttikertoimet!$D$6*Päästökertoimet!F173</f>
        <v>1.9344093548387098</v>
      </c>
      <c r="H173" s="47" t="s">
        <v>33</v>
      </c>
      <c r="I173" s="47">
        <v>2001</v>
      </c>
      <c r="J173" s="48" t="s">
        <v>37</v>
      </c>
      <c r="K173" s="16"/>
      <c r="L173" s="16"/>
      <c r="M173" s="16"/>
    </row>
    <row r="174" spans="1:13" ht="14.25">
      <c r="A174" s="17"/>
      <c r="B174" s="17"/>
      <c r="C174" s="18"/>
      <c r="D174" s="15"/>
      <c r="E174" s="15"/>
      <c r="F174" s="12"/>
      <c r="G174" s="19"/>
      <c r="H174" s="16"/>
      <c r="I174" s="16"/>
      <c r="J174" s="16"/>
      <c r="K174" s="16"/>
      <c r="L174" s="16"/>
      <c r="M174" s="16"/>
    </row>
    <row r="175" spans="1:13" ht="15">
      <c r="A175" s="22" t="s">
        <v>271</v>
      </c>
      <c r="B175" s="17"/>
      <c r="C175" s="18"/>
      <c r="D175" s="15"/>
      <c r="E175" s="15"/>
      <c r="F175" s="12"/>
      <c r="G175" s="19"/>
      <c r="H175" s="16"/>
      <c r="I175" s="16"/>
      <c r="J175" s="16"/>
      <c r="K175" s="16"/>
      <c r="L175" s="16"/>
      <c r="M175" s="16"/>
    </row>
    <row r="176" spans="1:13" ht="14.25">
      <c r="A176" s="17" t="s">
        <v>224</v>
      </c>
      <c r="B176" s="17"/>
      <c r="C176" s="18"/>
      <c r="D176" s="15"/>
      <c r="E176" s="15"/>
      <c r="F176" s="12"/>
      <c r="G176" s="19"/>
      <c r="H176" s="16"/>
      <c r="I176" s="16"/>
      <c r="J176" s="16"/>
      <c r="K176" s="16"/>
      <c r="L176" s="16"/>
      <c r="M176" s="16"/>
    </row>
    <row r="177" spans="1:12" ht="28.5">
      <c r="A177" s="39" t="s">
        <v>11</v>
      </c>
      <c r="B177" s="39" t="s">
        <v>69</v>
      </c>
      <c r="C177" s="39" t="s">
        <v>216</v>
      </c>
      <c r="D177" s="40" t="s">
        <v>300</v>
      </c>
      <c r="E177" s="40" t="s">
        <v>299</v>
      </c>
      <c r="F177" s="40" t="s">
        <v>301</v>
      </c>
      <c r="G177" s="40" t="s">
        <v>302</v>
      </c>
      <c r="H177" s="40" t="s">
        <v>73</v>
      </c>
      <c r="I177" s="39" t="s">
        <v>222</v>
      </c>
      <c r="J177" s="16"/>
      <c r="K177" s="16"/>
      <c r="L177" s="16"/>
    </row>
    <row r="178" spans="1:12" ht="14.25">
      <c r="A178" s="39" t="s">
        <v>233</v>
      </c>
      <c r="B178" s="39" t="s">
        <v>206</v>
      </c>
      <c r="C178" s="39"/>
      <c r="D178" s="77"/>
      <c r="E178" s="77"/>
      <c r="F178" s="77"/>
      <c r="G178" s="43">
        <f>(0.421+52.268)/375</f>
        <v>0.140504</v>
      </c>
      <c r="H178" s="47" t="s">
        <v>66</v>
      </c>
      <c r="I178" s="47" t="s">
        <v>234</v>
      </c>
      <c r="J178" s="16"/>
      <c r="K178" s="16"/>
      <c r="L178" s="16"/>
    </row>
    <row r="179" spans="1:12" ht="14.25">
      <c r="A179" s="71" t="s">
        <v>218</v>
      </c>
      <c r="B179" s="45" t="s">
        <v>215</v>
      </c>
      <c r="C179" s="45" t="s">
        <v>217</v>
      </c>
      <c r="D179" s="75"/>
      <c r="E179" s="75"/>
      <c r="F179" s="75"/>
      <c r="G179" s="43">
        <f>(35.174+3.046)/46.4</f>
        <v>0.8237068965517241</v>
      </c>
      <c r="H179" s="47" t="s">
        <v>221</v>
      </c>
      <c r="I179" s="47" t="s">
        <v>223</v>
      </c>
      <c r="J179" s="16"/>
      <c r="K179" s="16"/>
      <c r="L179" s="16"/>
    </row>
    <row r="180" spans="1:12" ht="14.25">
      <c r="A180" s="70" t="s">
        <v>219</v>
      </c>
      <c r="B180" s="41" t="s">
        <v>215</v>
      </c>
      <c r="C180" s="41" t="s">
        <v>220</v>
      </c>
      <c r="D180" s="76"/>
      <c r="E180" s="76"/>
      <c r="F180" s="76"/>
      <c r="G180" s="43">
        <f>(42.429+3.676)/56</f>
        <v>0.8233035714285715</v>
      </c>
      <c r="H180" s="44" t="s">
        <v>221</v>
      </c>
      <c r="I180" s="41" t="s">
        <v>223</v>
      </c>
      <c r="J180" s="16"/>
      <c r="K180" s="16"/>
      <c r="L180" s="16"/>
    </row>
    <row r="181" spans="1:12" ht="14.25">
      <c r="A181" s="70" t="s">
        <v>231</v>
      </c>
      <c r="B181" s="41"/>
      <c r="C181" s="41"/>
      <c r="D181" s="76"/>
      <c r="E181" s="76"/>
      <c r="F181" s="76"/>
      <c r="G181" s="43">
        <f>(24.382+17.951)/85</f>
        <v>0.498035294117647</v>
      </c>
      <c r="H181" s="44" t="s">
        <v>221</v>
      </c>
      <c r="I181" s="41" t="s">
        <v>232</v>
      </c>
      <c r="J181" s="16"/>
      <c r="K181" s="16"/>
      <c r="L181" s="16"/>
    </row>
    <row r="182" spans="1:12" ht="14.25">
      <c r="A182" s="73" t="s">
        <v>13</v>
      </c>
      <c r="B182" s="45" t="s">
        <v>225</v>
      </c>
      <c r="C182" s="45"/>
      <c r="D182" s="75"/>
      <c r="E182" s="75"/>
      <c r="F182" s="75"/>
      <c r="G182" s="43">
        <f>(17.8+9.74+3.82)/90</f>
        <v>0.34844444444444445</v>
      </c>
      <c r="H182" s="47" t="s">
        <v>226</v>
      </c>
      <c r="I182" s="47" t="s">
        <v>227</v>
      </c>
      <c r="J182" s="16"/>
      <c r="K182" s="16"/>
      <c r="L182" s="16"/>
    </row>
    <row r="183" spans="1:12" ht="14.25">
      <c r="A183" s="73" t="s">
        <v>12</v>
      </c>
      <c r="B183" s="45" t="s">
        <v>206</v>
      </c>
      <c r="C183" s="45"/>
      <c r="D183" s="78">
        <v>0.087287</v>
      </c>
      <c r="E183" s="78">
        <v>2E-05</v>
      </c>
      <c r="F183" s="78">
        <v>0.000138</v>
      </c>
      <c r="G183" s="43">
        <f>Ekvivalenttikertoimet!$B$6*Päästökertoimet!D183+Ekvivalenttikertoimet!$C$6*Päästökertoimet!E183+Ekvivalenttikertoimet!$D$6*Päästökertoimet!F183</f>
        <v>0.096697</v>
      </c>
      <c r="H183" s="47" t="s">
        <v>235</v>
      </c>
      <c r="I183" s="47" t="s">
        <v>236</v>
      </c>
      <c r="J183" s="16"/>
      <c r="K183" s="16"/>
      <c r="L183" s="16"/>
    </row>
    <row r="184" spans="1:12" ht="14.25">
      <c r="A184" s="73" t="s">
        <v>228</v>
      </c>
      <c r="B184" s="45" t="s">
        <v>229</v>
      </c>
      <c r="C184" s="45"/>
      <c r="D184" s="75"/>
      <c r="E184" s="75"/>
      <c r="F184" s="75"/>
      <c r="G184" s="43">
        <f>(0.17+15.06+3.28+0.71)/105</f>
        <v>0.18304761904761907</v>
      </c>
      <c r="H184" s="47" t="s">
        <v>229</v>
      </c>
      <c r="I184" s="47" t="s">
        <v>230</v>
      </c>
      <c r="J184" s="16"/>
      <c r="K184" s="16"/>
      <c r="L184" s="16"/>
    </row>
    <row r="185" spans="1:13" ht="15">
      <c r="A185" s="22"/>
      <c r="B185" s="17"/>
      <c r="C185" s="18"/>
      <c r="D185" s="15"/>
      <c r="E185" s="15"/>
      <c r="F185" s="12"/>
      <c r="G185" s="19"/>
      <c r="H185" s="16"/>
      <c r="I185" s="16"/>
      <c r="J185" s="16"/>
      <c r="K185" s="16"/>
      <c r="L185" s="16"/>
      <c r="M185" s="16"/>
    </row>
    <row r="186" spans="1:13" ht="15">
      <c r="A186" s="22" t="s">
        <v>273</v>
      </c>
      <c r="B186" s="17"/>
      <c r="C186" s="18"/>
      <c r="D186" s="15"/>
      <c r="E186" s="15"/>
      <c r="F186" s="12"/>
      <c r="G186" s="19"/>
      <c r="H186" s="16"/>
      <c r="I186" s="16"/>
      <c r="J186" s="16"/>
      <c r="K186" s="16"/>
      <c r="L186" s="16"/>
      <c r="M186" s="16"/>
    </row>
    <row r="187" spans="1:13" ht="29.25">
      <c r="A187" s="79"/>
      <c r="B187" s="80" t="s">
        <v>0</v>
      </c>
      <c r="C187" s="40" t="s">
        <v>239</v>
      </c>
      <c r="D187" s="40" t="s">
        <v>240</v>
      </c>
      <c r="E187" s="40" t="s">
        <v>241</v>
      </c>
      <c r="F187" s="40" t="s">
        <v>166</v>
      </c>
      <c r="G187" s="43" t="s">
        <v>73</v>
      </c>
      <c r="H187" s="41" t="s">
        <v>222</v>
      </c>
      <c r="I187" s="16"/>
      <c r="J187" s="16"/>
      <c r="K187" s="16"/>
      <c r="L187" s="16"/>
      <c r="M187" s="16"/>
    </row>
    <row r="188" spans="1:12" ht="14.25">
      <c r="A188" s="80" t="s">
        <v>355</v>
      </c>
      <c r="B188" s="25" t="s">
        <v>9</v>
      </c>
      <c r="C188" s="40">
        <v>0.025</v>
      </c>
      <c r="D188" s="40">
        <v>0</v>
      </c>
      <c r="E188" s="40">
        <v>0</v>
      </c>
      <c r="F188" s="43">
        <f>Ekvivalenttikertoimet!$B$6*Päästökertoimet!C188+Ekvivalenttikertoimet!$C$6*Päästökertoimet!D188+Ekvivalenttikertoimet!$D$6*Päästökertoimet!E188</f>
        <v>0.025</v>
      </c>
      <c r="G188" s="43" t="s">
        <v>356</v>
      </c>
      <c r="H188" s="41"/>
      <c r="I188" s="16"/>
      <c r="J188" s="16"/>
      <c r="K188" s="16"/>
      <c r="L188" s="16"/>
    </row>
    <row r="189" spans="1:12" ht="14.25">
      <c r="A189" s="80" t="s">
        <v>242</v>
      </c>
      <c r="B189" s="25" t="s">
        <v>9</v>
      </c>
      <c r="C189" s="127">
        <v>0.04197</v>
      </c>
      <c r="D189" s="128">
        <v>0</v>
      </c>
      <c r="E189" s="128">
        <v>0.00014</v>
      </c>
      <c r="F189" s="43">
        <f>Ekvivalenttikertoimet!$B$6*Päästökertoimet!C189+Ekvivalenttikertoimet!$C$6*Päästökertoimet!D189+Ekvivalenttikertoimet!$D$6*Päästökertoimet!E189</f>
        <v>0.04547</v>
      </c>
      <c r="G189" s="124" t="s">
        <v>349</v>
      </c>
      <c r="H189" s="41"/>
      <c r="I189" s="16"/>
      <c r="J189" s="16"/>
      <c r="K189" s="16"/>
      <c r="L189" s="16"/>
    </row>
    <row r="190" spans="1:12" ht="14.25">
      <c r="A190" s="80" t="s">
        <v>243</v>
      </c>
      <c r="B190" s="25" t="s">
        <v>9</v>
      </c>
      <c r="C190" s="127">
        <v>0.09411</v>
      </c>
      <c r="D190" s="128">
        <v>1E-05</v>
      </c>
      <c r="E190" s="128">
        <v>0.00028</v>
      </c>
      <c r="F190" s="43">
        <f>Ekvivalenttikertoimet!$B$6*Päästökertoimet!C190+Ekvivalenttikertoimet!$C$6*Päästökertoimet!D190+Ekvivalenttikertoimet!$D$6*Päästökertoimet!E190</f>
        <v>0.10408999999999999</v>
      </c>
      <c r="G190" s="124" t="s">
        <v>349</v>
      </c>
      <c r="H190" s="41"/>
      <c r="I190" s="16"/>
      <c r="J190" s="16"/>
      <c r="K190" s="16"/>
      <c r="L190" s="16"/>
    </row>
    <row r="191" spans="1:12" ht="14.25">
      <c r="A191" s="80" t="s">
        <v>353</v>
      </c>
      <c r="B191" s="25" t="s">
        <v>9</v>
      </c>
      <c r="C191" s="127">
        <f>1.82*0.0016</f>
        <v>0.002912</v>
      </c>
      <c r="D191" s="128">
        <f>0.00033*0.0016</f>
        <v>5.280000000000001E-07</v>
      </c>
      <c r="E191" s="128">
        <f>0.00295*0.0016</f>
        <v>4.72E-06</v>
      </c>
      <c r="F191" s="43">
        <f>Ekvivalenttikertoimet!$B$6*Päästökertoimet!C191+Ekvivalenttikertoimet!$C$6*Päästökertoimet!D191+Ekvivalenttikertoimet!$D$6*Päästökertoimet!E191</f>
        <v>0.003187344</v>
      </c>
      <c r="G191" s="124" t="s">
        <v>350</v>
      </c>
      <c r="H191" s="41"/>
      <c r="I191" s="16"/>
      <c r="J191" s="16"/>
      <c r="K191" s="16"/>
      <c r="L191" s="16"/>
    </row>
    <row r="192" spans="1:12" ht="14.25">
      <c r="A192" s="80" t="s">
        <v>244</v>
      </c>
      <c r="B192" s="25" t="s">
        <v>3</v>
      </c>
      <c r="C192" s="127">
        <v>0.59</v>
      </c>
      <c r="D192" s="128">
        <v>4E-05</v>
      </c>
      <c r="E192" s="128">
        <v>0.00168</v>
      </c>
      <c r="F192" s="43">
        <f>Ekvivalenttikertoimet!$B$6*Päästökertoimet!C192+Ekvivalenttikertoimet!$C$6*Päästökertoimet!D192+Ekvivalenttikertoimet!$D$6*Päästökertoimet!E192</f>
        <v>0.64392</v>
      </c>
      <c r="G192" s="124" t="s">
        <v>351</v>
      </c>
      <c r="H192" s="41"/>
      <c r="I192" s="16"/>
      <c r="J192" s="16"/>
      <c r="K192" s="16"/>
      <c r="L192" s="16"/>
    </row>
    <row r="193" spans="1:12" ht="14.25">
      <c r="A193" s="80" t="s">
        <v>245</v>
      </c>
      <c r="B193" s="25" t="s">
        <v>3</v>
      </c>
      <c r="C193" s="127">
        <v>0.5211</v>
      </c>
      <c r="D193" s="128">
        <v>4E-05</v>
      </c>
      <c r="E193" s="128">
        <v>0.00168</v>
      </c>
      <c r="F193" s="43">
        <f>Ekvivalenttikertoimet!$B$6*Päästökertoimet!C193+Ekvivalenttikertoimet!$C$6*Päästökertoimet!D193+Ekvivalenttikertoimet!$D$6*Päästökertoimet!E193</f>
        <v>0.5750200000000001</v>
      </c>
      <c r="G193" s="124" t="s">
        <v>351</v>
      </c>
      <c r="H193" s="41"/>
      <c r="I193" s="16"/>
      <c r="J193" s="16"/>
      <c r="K193" s="16"/>
      <c r="L193" s="16"/>
    </row>
    <row r="194" spans="1:12" ht="14.25">
      <c r="A194" s="80" t="s">
        <v>283</v>
      </c>
      <c r="B194" s="25" t="s">
        <v>3</v>
      </c>
      <c r="C194" s="126">
        <v>2.65</v>
      </c>
      <c r="D194" s="126">
        <v>0.0001</v>
      </c>
      <c r="E194" s="126">
        <v>0.015</v>
      </c>
      <c r="F194" s="43">
        <f>Ekvivalenttikertoimet!$B$6*Päästökertoimet!C194+Ekvivalenttikertoimet!$C$6*Päästökertoimet!D194+Ekvivalenttikertoimet!$D$6*Päästökertoimet!E194</f>
        <v>3.0547999999999997</v>
      </c>
      <c r="G194" s="43" t="s">
        <v>284</v>
      </c>
      <c r="H194" s="41"/>
      <c r="I194" s="16"/>
      <c r="J194" s="16"/>
      <c r="K194" s="16"/>
      <c r="L194" s="16"/>
    </row>
    <row r="195" spans="1:12" ht="14.25">
      <c r="A195" s="80" t="s">
        <v>286</v>
      </c>
      <c r="B195" s="25" t="s">
        <v>3</v>
      </c>
      <c r="C195" s="126">
        <v>1.94</v>
      </c>
      <c r="D195" s="126">
        <v>5E-05</v>
      </c>
      <c r="E195" s="126">
        <v>0.012</v>
      </c>
      <c r="F195" s="43">
        <f>Ekvivalenttikertoimet!$B$6*Päästökertoimet!C195+Ekvivalenttikertoimet!$C$6*Päästökertoimet!D195+Ekvivalenttikertoimet!$D$6*Päästökertoimet!E195</f>
        <v>2.2548999999999997</v>
      </c>
      <c r="G195" s="43" t="s">
        <v>285</v>
      </c>
      <c r="H195" s="41"/>
      <c r="I195" s="16"/>
      <c r="J195" s="16"/>
      <c r="K195" s="16"/>
      <c r="L195" s="16"/>
    </row>
    <row r="196" spans="1:12" ht="14.25">
      <c r="A196" s="80" t="s">
        <v>288</v>
      </c>
      <c r="B196" s="25" t="s">
        <v>3</v>
      </c>
      <c r="C196" s="126">
        <f>AVERAGE(C194:C195)</f>
        <v>2.295</v>
      </c>
      <c r="D196" s="126">
        <f>AVERAGE(D194:D195)</f>
        <v>7.500000000000001E-05</v>
      </c>
      <c r="E196" s="126">
        <f>AVERAGE(E194:E195)</f>
        <v>0.0135</v>
      </c>
      <c r="F196" s="43">
        <f>Ekvivalenttikertoimet!$B$6*Päästökertoimet!C196+Ekvivalenttikertoimet!$C$6*Päästökertoimet!D196+Ekvivalenttikertoimet!$D$6*Päästökertoimet!E196</f>
        <v>2.6548499999999997</v>
      </c>
      <c r="G196" s="43" t="s">
        <v>289</v>
      </c>
      <c r="H196" s="41"/>
      <c r="I196" s="16"/>
      <c r="J196" s="16"/>
      <c r="K196" s="16"/>
      <c r="L196" s="16"/>
    </row>
    <row r="197" spans="1:12" ht="14.25">
      <c r="A197" s="80" t="s">
        <v>292</v>
      </c>
      <c r="B197" s="25" t="s">
        <v>3</v>
      </c>
      <c r="C197" s="126">
        <v>2.09</v>
      </c>
      <c r="D197" s="126">
        <v>4.2E-05</v>
      </c>
      <c r="E197" s="126">
        <v>0.019</v>
      </c>
      <c r="F197" s="43">
        <f>Ekvivalenttikertoimet!$B$6*Päästökertoimet!C197+Ekvivalenttikertoimet!$C$6*Päästökertoimet!D197+Ekvivalenttikertoimet!$D$6*Päästökertoimet!E197</f>
        <v>2.577516</v>
      </c>
      <c r="G197" s="43" t="s">
        <v>287</v>
      </c>
      <c r="H197" s="41"/>
      <c r="I197" s="16"/>
      <c r="J197" s="16"/>
      <c r="K197" s="16"/>
      <c r="L197" s="16"/>
    </row>
    <row r="198" spans="1:12" ht="14.25">
      <c r="A198" s="80" t="s">
        <v>291</v>
      </c>
      <c r="B198" s="25" t="s">
        <v>3</v>
      </c>
      <c r="C198" s="127">
        <v>1.67</v>
      </c>
      <c r="D198" s="128">
        <v>0</v>
      </c>
      <c r="E198" s="128">
        <v>0.0163</v>
      </c>
      <c r="F198" s="43">
        <f>Ekvivalenttikertoimet!$B$6*Päästökertoimet!C198+Ekvivalenttikertoimet!$C$6*Päästökertoimet!D198+Ekvivalenttikertoimet!$D$6*Päästökertoimet!E198</f>
        <v>2.0774999999999997</v>
      </c>
      <c r="G198" s="124" t="s">
        <v>352</v>
      </c>
      <c r="H198" s="41"/>
      <c r="I198" s="16"/>
      <c r="J198" s="16"/>
      <c r="K198" s="16"/>
      <c r="L198" s="16"/>
    </row>
    <row r="199" spans="1:12" ht="14.25">
      <c r="A199" s="80" t="s">
        <v>290</v>
      </c>
      <c r="B199" s="25" t="s">
        <v>3</v>
      </c>
      <c r="C199" s="127">
        <v>1.67</v>
      </c>
      <c r="D199" s="128">
        <v>0</v>
      </c>
      <c r="E199" s="128">
        <v>0.0183</v>
      </c>
      <c r="F199" s="43">
        <f>Ekvivalenttikertoimet!$B$6*Päästökertoimet!C199+Ekvivalenttikertoimet!$C$6*Päästökertoimet!D199+Ekvivalenttikertoimet!$D$6*Päästökertoimet!E199</f>
        <v>2.1275</v>
      </c>
      <c r="G199" s="124" t="s">
        <v>352</v>
      </c>
      <c r="H199" s="41"/>
      <c r="I199" s="16"/>
      <c r="J199" s="16"/>
      <c r="K199" s="16"/>
      <c r="L199" s="16"/>
    </row>
    <row r="200" spans="1:13" ht="15">
      <c r="A200" s="22"/>
      <c r="B200" s="17"/>
      <c r="C200" s="18"/>
      <c r="D200" s="15"/>
      <c r="E200" s="15"/>
      <c r="F200" s="12"/>
      <c r="G200" s="19"/>
      <c r="H200" s="16"/>
      <c r="I200" s="16"/>
      <c r="J200" s="16"/>
      <c r="K200" s="16"/>
      <c r="L200" s="16"/>
      <c r="M200" s="16"/>
    </row>
    <row r="201" spans="1:13" ht="15">
      <c r="A201" s="22" t="s">
        <v>274</v>
      </c>
      <c r="B201" s="17"/>
      <c r="C201" s="18"/>
      <c r="D201" s="15"/>
      <c r="E201" s="15"/>
      <c r="F201" s="12"/>
      <c r="G201" s="12"/>
      <c r="H201" s="16"/>
      <c r="I201" s="16"/>
      <c r="J201" s="16"/>
      <c r="K201" s="16"/>
      <c r="L201" s="16"/>
      <c r="M201" s="16"/>
    </row>
    <row r="202" spans="1:13" ht="28.5">
      <c r="A202" s="80"/>
      <c r="B202" s="28" t="s">
        <v>259</v>
      </c>
      <c r="C202" s="40" t="s">
        <v>303</v>
      </c>
      <c r="D202" s="40" t="s">
        <v>304</v>
      </c>
      <c r="E202" s="40" t="s">
        <v>305</v>
      </c>
      <c r="F202" s="40" t="s">
        <v>306</v>
      </c>
      <c r="G202" s="43" t="s">
        <v>73</v>
      </c>
      <c r="H202" s="41" t="s">
        <v>222</v>
      </c>
      <c r="I202" s="16"/>
      <c r="J202" s="16"/>
      <c r="K202" s="16"/>
      <c r="L202" s="16"/>
      <c r="M202" s="16"/>
    </row>
    <row r="203" spans="1:13" ht="14.25">
      <c r="A203" s="80" t="s">
        <v>246</v>
      </c>
      <c r="B203" s="80">
        <v>7.8</v>
      </c>
      <c r="C203" s="82">
        <v>0.167</v>
      </c>
      <c r="D203" s="55">
        <v>4.4E-06</v>
      </c>
      <c r="E203" s="55">
        <v>7.4E-06</v>
      </c>
      <c r="F203" s="43">
        <f>Ekvivalenttikertoimet!$B$6*Päästökertoimet!C203+Ekvivalenttikertoimet!$C$6*Päästökertoimet!D203+Ekvivalenttikertoimet!$D$6*Päästökertoimet!E203</f>
        <v>0.1684962</v>
      </c>
      <c r="G203" s="51" t="s">
        <v>248</v>
      </c>
      <c r="H203" s="41" t="s">
        <v>247</v>
      </c>
      <c r="I203" s="16"/>
      <c r="J203" s="16"/>
      <c r="K203" s="16"/>
      <c r="L203" s="16"/>
      <c r="M203" s="16"/>
    </row>
    <row r="204" spans="1:13" ht="14.25">
      <c r="A204" s="80" t="s">
        <v>249</v>
      </c>
      <c r="B204" s="80">
        <v>6.4</v>
      </c>
      <c r="C204" s="82">
        <v>0.16</v>
      </c>
      <c r="D204" s="55">
        <v>5.4E-06</v>
      </c>
      <c r="E204" s="55">
        <v>8E-07</v>
      </c>
      <c r="F204" s="43">
        <f>Ekvivalenttikertoimet!$B$6*Päästökertoimet!C204+Ekvivalenttikertoimet!$C$6*Päästökertoimet!D204+Ekvivalenttikertoimet!$D$6*Päästökertoimet!E204</f>
        <v>0.1616292</v>
      </c>
      <c r="G204" s="51" t="s">
        <v>248</v>
      </c>
      <c r="H204" s="41" t="s">
        <v>247</v>
      </c>
      <c r="I204" s="16"/>
      <c r="J204" s="16"/>
      <c r="K204" s="16"/>
      <c r="L204" s="16"/>
      <c r="M204" s="16"/>
    </row>
    <row r="205" spans="1:13" ht="14.25">
      <c r="A205" s="80" t="s">
        <v>251</v>
      </c>
      <c r="B205" s="80">
        <v>8.4</v>
      </c>
      <c r="C205" s="82">
        <v>0.21</v>
      </c>
      <c r="D205" s="55">
        <v>8E-06</v>
      </c>
      <c r="E205" s="55">
        <v>1.2E-06</v>
      </c>
      <c r="F205" s="43">
        <f>Ekvivalenttikertoimet!$B$6*Päästökertoimet!C205+Ekvivalenttikertoimet!$C$6*Päästökertoimet!D205+Ekvivalenttikertoimet!$D$6*Päästökertoimet!E205</f>
        <v>0.212414</v>
      </c>
      <c r="G205" s="51" t="s">
        <v>248</v>
      </c>
      <c r="H205" s="41" t="s">
        <v>250</v>
      </c>
      <c r="I205" s="16"/>
      <c r="J205" s="16"/>
      <c r="K205" s="16"/>
      <c r="L205" s="16"/>
      <c r="M205" s="16"/>
    </row>
    <row r="206" spans="1:13" ht="14.25">
      <c r="A206" s="80" t="s">
        <v>252</v>
      </c>
      <c r="B206" s="80">
        <v>9.3</v>
      </c>
      <c r="C206" s="82">
        <v>0.231</v>
      </c>
      <c r="D206" s="55">
        <v>8E-06</v>
      </c>
      <c r="E206" s="55">
        <v>1.3E-06</v>
      </c>
      <c r="F206" s="43">
        <f>Ekvivalenttikertoimet!$B$6*Päästökertoimet!C206+Ekvivalenttikertoimet!$C$6*Päästökertoimet!D206+Ekvivalenttikertoimet!$D$6*Päästökertoimet!E206</f>
        <v>0.2334165</v>
      </c>
      <c r="G206" s="51" t="s">
        <v>248</v>
      </c>
      <c r="H206" s="41" t="s">
        <v>250</v>
      </c>
      <c r="I206" s="16"/>
      <c r="J206" s="16"/>
      <c r="K206" s="16"/>
      <c r="L206" s="16"/>
      <c r="M206" s="16"/>
    </row>
    <row r="207" spans="1:13" ht="14.25">
      <c r="A207" s="80" t="s">
        <v>253</v>
      </c>
      <c r="B207" s="80">
        <v>11.2</v>
      </c>
      <c r="C207" s="82">
        <v>0.28</v>
      </c>
      <c r="D207" s="55">
        <v>3E-05</v>
      </c>
      <c r="E207" s="55">
        <v>8E-06</v>
      </c>
      <c r="F207" s="43">
        <f>Ekvivalenttikertoimet!$B$6*Päästökertoimet!C207+Ekvivalenttikertoimet!$C$6*Päästökertoimet!D207+Ekvivalenttikertoimet!$D$6*Päästökertoimet!E207</f>
        <v>0.28914</v>
      </c>
      <c r="G207" s="51" t="s">
        <v>248</v>
      </c>
      <c r="H207" s="41" t="s">
        <v>250</v>
      </c>
      <c r="I207" s="16"/>
      <c r="J207" s="16"/>
      <c r="K207" s="16"/>
      <c r="L207" s="16"/>
      <c r="M207" s="16"/>
    </row>
    <row r="208" spans="1:13" ht="14.25">
      <c r="A208" s="80" t="s">
        <v>254</v>
      </c>
      <c r="B208" s="80">
        <v>12.9</v>
      </c>
      <c r="C208" s="82">
        <v>0.322</v>
      </c>
      <c r="D208" s="55">
        <v>3E-05</v>
      </c>
      <c r="E208" s="55">
        <v>8E-06</v>
      </c>
      <c r="F208" s="43">
        <f>Ekvivalenttikertoimet!$B$6*Päästökertoimet!C208+Ekvivalenttikertoimet!$C$6*Päästökertoimet!D208+Ekvivalenttikertoimet!$D$6*Päästökertoimet!E208</f>
        <v>0.33114</v>
      </c>
      <c r="G208" s="51" t="s">
        <v>248</v>
      </c>
      <c r="H208" s="41" t="s">
        <v>250</v>
      </c>
      <c r="I208" s="16"/>
      <c r="J208" s="16"/>
      <c r="K208" s="16"/>
      <c r="L208" s="16"/>
      <c r="M208" s="16"/>
    </row>
    <row r="209" spans="1:13" ht="14.25">
      <c r="A209" s="80" t="s">
        <v>255</v>
      </c>
      <c r="B209" s="80">
        <v>18</v>
      </c>
      <c r="C209" s="82">
        <v>0.448</v>
      </c>
      <c r="D209" s="55">
        <v>3.1E-05</v>
      </c>
      <c r="E209" s="55">
        <v>8E-06</v>
      </c>
      <c r="F209" s="43">
        <f>Ekvivalenttikertoimet!$B$6*Päästökertoimet!C209+Ekvivalenttikertoimet!$C$6*Päästökertoimet!D209+Ekvivalenttikertoimet!$D$6*Päästökertoimet!E209</f>
        <v>0.457438</v>
      </c>
      <c r="G209" s="51" t="s">
        <v>248</v>
      </c>
      <c r="H209" s="41" t="s">
        <v>250</v>
      </c>
      <c r="I209" s="16"/>
      <c r="J209" s="16"/>
      <c r="K209" s="16"/>
      <c r="L209" s="16"/>
      <c r="M209" s="16"/>
    </row>
    <row r="210" spans="1:13" ht="14.25">
      <c r="A210" s="80" t="s">
        <v>256</v>
      </c>
      <c r="B210" s="80">
        <v>22</v>
      </c>
      <c r="C210" s="82">
        <v>0.558</v>
      </c>
      <c r="D210" s="55">
        <v>3.5E-05</v>
      </c>
      <c r="E210" s="55">
        <v>8E-06</v>
      </c>
      <c r="F210" s="43">
        <f>Ekvivalenttikertoimet!$B$6*Päästökertoimet!C210+Ekvivalenttikertoimet!$C$6*Päästökertoimet!D210+Ekvivalenttikertoimet!$D$6*Päästökertoimet!E210</f>
        <v>0.5686300000000001</v>
      </c>
      <c r="G210" s="51" t="s">
        <v>248</v>
      </c>
      <c r="H210" s="41" t="s">
        <v>250</v>
      </c>
      <c r="I210" s="16"/>
      <c r="J210" s="16"/>
      <c r="K210" s="16"/>
      <c r="L210" s="16"/>
      <c r="M210" s="16"/>
    </row>
    <row r="211" spans="1:13" ht="14.25">
      <c r="A211" s="80" t="s">
        <v>257</v>
      </c>
      <c r="B211" s="80">
        <v>30.4</v>
      </c>
      <c r="C211" s="82">
        <v>0.757</v>
      </c>
      <c r="D211" s="55">
        <v>2.8E-05</v>
      </c>
      <c r="E211" s="55">
        <v>7E-06</v>
      </c>
      <c r="F211" s="43">
        <f>Ekvivalenttikertoimet!$B$6*Päästökertoimet!C211+Ekvivalenttikertoimet!$C$6*Päästökertoimet!D211+Ekvivalenttikertoimet!$D$6*Päästökertoimet!E211</f>
        <v>0.7655190000000001</v>
      </c>
      <c r="G211" s="81" t="s">
        <v>248</v>
      </c>
      <c r="H211" s="55" t="s">
        <v>250</v>
      </c>
      <c r="I211" s="16"/>
      <c r="J211" s="16"/>
      <c r="K211" s="16"/>
      <c r="L211" s="16"/>
      <c r="M211" s="16"/>
    </row>
    <row r="212" spans="1:13" ht="14.25">
      <c r="A212" s="80" t="s">
        <v>258</v>
      </c>
      <c r="B212" s="80">
        <v>41.3</v>
      </c>
      <c r="C212" s="82">
        <v>1.03</v>
      </c>
      <c r="D212" s="55">
        <v>2.8E-05</v>
      </c>
      <c r="E212" s="55">
        <v>7E-06</v>
      </c>
      <c r="F212" s="43">
        <f>Ekvivalenttikertoimet!$B$6*Päästökertoimet!C212+Ekvivalenttikertoimet!$C$6*Päästökertoimet!D212+Ekvivalenttikertoimet!$D$6*Päästökertoimet!E212</f>
        <v>1.038519</v>
      </c>
      <c r="G212" s="51" t="s">
        <v>248</v>
      </c>
      <c r="H212" s="41" t="s">
        <v>250</v>
      </c>
      <c r="I212" s="16"/>
      <c r="J212" s="16"/>
      <c r="K212" s="16"/>
      <c r="L212" s="16"/>
      <c r="M212" s="16"/>
    </row>
    <row r="213" spans="1:13" ht="14.25">
      <c r="A213" s="80" t="s">
        <v>260</v>
      </c>
      <c r="B213" s="80">
        <v>33</v>
      </c>
      <c r="C213" s="82">
        <v>0.823</v>
      </c>
      <c r="D213" s="55">
        <v>2.6E-05</v>
      </c>
      <c r="E213" s="55">
        <v>9E-06</v>
      </c>
      <c r="F213" s="43">
        <f>Ekvivalenttikertoimet!$B$6*Päästökertoimet!C213+Ekvivalenttikertoimet!$C$6*Päästökertoimet!D213+Ekvivalenttikertoimet!$D$6*Päästökertoimet!E213</f>
        <v>0.830973</v>
      </c>
      <c r="G213" s="51" t="s">
        <v>248</v>
      </c>
      <c r="H213" s="41" t="s">
        <v>250</v>
      </c>
      <c r="I213" s="16"/>
      <c r="J213" s="16"/>
      <c r="K213" s="16"/>
      <c r="L213" s="16"/>
      <c r="M213" s="16"/>
    </row>
    <row r="214" spans="1:13" ht="14.25">
      <c r="A214" s="80" t="s">
        <v>261</v>
      </c>
      <c r="B214" s="80">
        <v>50.1</v>
      </c>
      <c r="C214" s="82">
        <v>1.249</v>
      </c>
      <c r="D214" s="55">
        <v>3.5E-05</v>
      </c>
      <c r="E214" s="55">
        <v>9E-06</v>
      </c>
      <c r="F214" s="43">
        <f>Ekvivalenttikertoimet!$B$6*Päästökertoimet!C214+Ekvivalenttikertoimet!$C$6*Päästökertoimet!D214+Ekvivalenttikertoimet!$D$6*Päästökertoimet!E214</f>
        <v>1.259655</v>
      </c>
      <c r="G214" s="51" t="s">
        <v>248</v>
      </c>
      <c r="H214" s="41" t="s">
        <v>250</v>
      </c>
      <c r="I214" s="16"/>
      <c r="J214" s="16"/>
      <c r="K214" s="16"/>
      <c r="L214" s="16"/>
      <c r="M214" s="16"/>
    </row>
    <row r="215" spans="1:13" ht="15">
      <c r="A215" s="22"/>
      <c r="B215" s="17"/>
      <c r="C215" s="18"/>
      <c r="D215" s="15"/>
      <c r="E215" s="15"/>
      <c r="F215" s="12"/>
      <c r="G215" s="12"/>
      <c r="H215" s="16"/>
      <c r="I215" s="16"/>
      <c r="J215" s="16"/>
      <c r="K215" s="16"/>
      <c r="L215" s="16"/>
      <c r="M215" s="16"/>
    </row>
    <row r="216" spans="1:13" ht="15">
      <c r="A216" s="22" t="s">
        <v>275</v>
      </c>
      <c r="B216" s="17"/>
      <c r="C216" s="18"/>
      <c r="D216" s="15"/>
      <c r="E216" s="15"/>
      <c r="F216" s="12"/>
      <c r="G216" s="12"/>
      <c r="H216" s="16"/>
      <c r="I216" s="16"/>
      <c r="J216" s="16"/>
      <c r="K216" s="16"/>
      <c r="L216" s="16"/>
      <c r="M216" s="16"/>
    </row>
    <row r="217" spans="1:13" ht="15">
      <c r="A217" s="79"/>
      <c r="B217" s="80" t="s">
        <v>0</v>
      </c>
      <c r="C217" s="40" t="s">
        <v>328</v>
      </c>
      <c r="D217" s="40" t="s">
        <v>307</v>
      </c>
      <c r="E217" s="40" t="s">
        <v>308</v>
      </c>
      <c r="F217" s="40" t="s">
        <v>336</v>
      </c>
      <c r="G217" s="43" t="s">
        <v>73</v>
      </c>
      <c r="H217" s="41" t="s">
        <v>222</v>
      </c>
      <c r="I217" s="16"/>
      <c r="J217" s="16"/>
      <c r="K217" s="16"/>
      <c r="L217" s="16"/>
      <c r="M217" s="16"/>
    </row>
    <row r="218" spans="1:13" ht="14.25">
      <c r="A218" s="80" t="s">
        <v>329</v>
      </c>
      <c r="B218" s="80" t="s">
        <v>334</v>
      </c>
      <c r="C218" s="40"/>
      <c r="D218" s="40"/>
      <c r="E218" s="40"/>
      <c r="F218" s="40">
        <f>21.38/1000</f>
        <v>0.02138</v>
      </c>
      <c r="G218" s="43" t="s">
        <v>337</v>
      </c>
      <c r="H218" s="41"/>
      <c r="I218" s="16"/>
      <c r="J218" s="16"/>
      <c r="K218" s="16"/>
      <c r="L218" s="16"/>
      <c r="M218" s="16"/>
    </row>
    <row r="219" spans="1:13" ht="14.25">
      <c r="A219" s="80" t="s">
        <v>330</v>
      </c>
      <c r="B219" s="80" t="s">
        <v>334</v>
      </c>
      <c r="C219" s="40"/>
      <c r="D219" s="40"/>
      <c r="E219" s="40"/>
      <c r="F219" s="40">
        <f>17.5/1000</f>
        <v>0.0175</v>
      </c>
      <c r="G219" s="43" t="s">
        <v>337</v>
      </c>
      <c r="H219" s="41"/>
      <c r="I219" s="16"/>
      <c r="J219" s="16"/>
      <c r="K219" s="16"/>
      <c r="L219" s="16"/>
      <c r="M219" s="16"/>
    </row>
    <row r="220" spans="1:13" ht="14.25">
      <c r="A220" s="80" t="s">
        <v>344</v>
      </c>
      <c r="B220" s="80" t="s">
        <v>343</v>
      </c>
      <c r="C220" s="40"/>
      <c r="D220" s="40"/>
      <c r="E220" s="40"/>
      <c r="F220" s="40">
        <f>33.186/1000</f>
        <v>0.033186</v>
      </c>
      <c r="G220" s="43" t="s">
        <v>371</v>
      </c>
      <c r="H220" s="41"/>
      <c r="I220" s="16"/>
      <c r="J220" s="16"/>
      <c r="K220" s="16"/>
      <c r="L220" s="16"/>
      <c r="M220" s="16"/>
    </row>
    <row r="221" spans="1:13" ht="14.25">
      <c r="A221" s="80" t="s">
        <v>331</v>
      </c>
      <c r="B221" s="80" t="s">
        <v>335</v>
      </c>
      <c r="C221" s="40"/>
      <c r="D221" s="40"/>
      <c r="E221" s="40"/>
      <c r="F221" s="40">
        <f>13.53/1000</f>
        <v>0.013529999999999999</v>
      </c>
      <c r="G221" s="43" t="s">
        <v>337</v>
      </c>
      <c r="H221" s="41"/>
      <c r="I221" s="16"/>
      <c r="J221" s="16"/>
      <c r="K221" s="16"/>
      <c r="L221" s="16"/>
      <c r="M221" s="16"/>
    </row>
    <row r="222" spans="1:13" ht="14.25">
      <c r="A222" s="80" t="s">
        <v>332</v>
      </c>
      <c r="B222" s="80" t="s">
        <v>335</v>
      </c>
      <c r="C222" s="40"/>
      <c r="D222" s="40"/>
      <c r="E222" s="40"/>
      <c r="F222" s="40">
        <f>16.35/1000</f>
        <v>0.01635</v>
      </c>
      <c r="G222" s="43" t="s">
        <v>337</v>
      </c>
      <c r="H222" s="41"/>
      <c r="I222" s="16"/>
      <c r="J222" s="16"/>
      <c r="K222" s="16"/>
      <c r="L222" s="16"/>
      <c r="M222" s="16"/>
    </row>
    <row r="223" spans="1:13" ht="14.25">
      <c r="A223" s="80" t="s">
        <v>311</v>
      </c>
      <c r="B223" s="80" t="s">
        <v>3</v>
      </c>
      <c r="C223" s="92">
        <v>0.82</v>
      </c>
      <c r="D223" s="92">
        <v>0.000198</v>
      </c>
      <c r="E223" s="92">
        <v>0.001</v>
      </c>
      <c r="F223" s="43">
        <f>C223</f>
        <v>0.82</v>
      </c>
      <c r="G223" s="93" t="s">
        <v>394</v>
      </c>
      <c r="H223" s="54"/>
      <c r="I223" s="16"/>
      <c r="J223" s="16"/>
      <c r="K223" s="16"/>
      <c r="L223" s="16"/>
      <c r="M223" s="16"/>
    </row>
    <row r="224" spans="1:13" ht="14.25">
      <c r="A224" s="80" t="s">
        <v>310</v>
      </c>
      <c r="B224" s="80" t="s">
        <v>3</v>
      </c>
      <c r="C224" s="92">
        <v>0</v>
      </c>
      <c r="D224" s="92">
        <v>0.000198</v>
      </c>
      <c r="E224" s="92">
        <v>0.001</v>
      </c>
      <c r="F224" s="43">
        <f>Ekvivalenttikertoimet!$B$6*Päästökertoimet!C224+Ekvivalenttikertoimet!$C$6*Päästökertoimet!D224+Ekvivalenttikertoimet!$D$6*Päästökertoimet!E224</f>
        <v>0.084004</v>
      </c>
      <c r="G224" s="93" t="s">
        <v>312</v>
      </c>
      <c r="H224" s="54"/>
      <c r="I224" s="16"/>
      <c r="J224" s="16"/>
      <c r="K224" s="16"/>
      <c r="L224" s="16"/>
      <c r="M224" s="16"/>
    </row>
    <row r="225" spans="1:13" ht="14.25">
      <c r="A225" s="80" t="s">
        <v>309</v>
      </c>
      <c r="B225" s="80" t="s">
        <v>3</v>
      </c>
      <c r="C225" s="92">
        <v>0</v>
      </c>
      <c r="D225" s="92">
        <v>0</v>
      </c>
      <c r="E225" s="92">
        <v>0.0294</v>
      </c>
      <c r="F225" s="43">
        <f>Ekvivalenttikertoimet!$B$6*Päästökertoimet!C225+Ekvivalenttikertoimet!$C$6*Päästökertoimet!D225+Ekvivalenttikertoimet!$D$6*Päästökertoimet!E225</f>
        <v>0.735</v>
      </c>
      <c r="G225" s="93" t="s">
        <v>313</v>
      </c>
      <c r="H225" s="54"/>
      <c r="I225" s="16"/>
      <c r="J225" s="16"/>
      <c r="K225" s="16"/>
      <c r="L225" s="16"/>
      <c r="M225" s="16"/>
    </row>
    <row r="226" spans="1:13" ht="14.25">
      <c r="A226" s="80" t="s">
        <v>339</v>
      </c>
      <c r="B226" s="80" t="s">
        <v>3</v>
      </c>
      <c r="C226" s="92">
        <v>0</v>
      </c>
      <c r="D226" s="92">
        <v>0</v>
      </c>
      <c r="E226" s="92">
        <v>0</v>
      </c>
      <c r="F226" s="43">
        <v>0</v>
      </c>
      <c r="G226" s="93" t="s">
        <v>340</v>
      </c>
      <c r="H226" s="54"/>
      <c r="I226" s="16"/>
      <c r="J226" s="16"/>
      <c r="K226" s="16"/>
      <c r="L226" s="16"/>
      <c r="M226" s="16"/>
    </row>
    <row r="227" spans="1:13" ht="14.25">
      <c r="A227" s="80" t="s">
        <v>338</v>
      </c>
      <c r="B227" s="80" t="s">
        <v>3</v>
      </c>
      <c r="C227" s="94">
        <v>0</v>
      </c>
      <c r="D227" s="95">
        <v>0</v>
      </c>
      <c r="E227" s="95">
        <v>0.023625</v>
      </c>
      <c r="F227" s="43">
        <f>Ekvivalenttikertoimet!$B$6*Päästökertoimet!C227+Ekvivalenttikertoimet!$C$6*Päästökertoimet!D227+Ekvivalenttikertoimet!$D$6*Päästökertoimet!E227</f>
        <v>0.590625</v>
      </c>
      <c r="G227" s="96" t="s">
        <v>313</v>
      </c>
      <c r="H227" s="54"/>
      <c r="I227" s="16"/>
      <c r="J227" s="16"/>
      <c r="K227" s="16"/>
      <c r="L227" s="16"/>
      <c r="M227" s="16"/>
    </row>
    <row r="228" spans="1:13" ht="14.25">
      <c r="A228" s="80" t="s">
        <v>341</v>
      </c>
      <c r="B228" s="80" t="s">
        <v>3</v>
      </c>
      <c r="C228" s="94">
        <v>0</v>
      </c>
      <c r="D228" s="95">
        <v>0</v>
      </c>
      <c r="E228" s="95">
        <v>0.023625</v>
      </c>
      <c r="F228" s="43">
        <v>3.2</v>
      </c>
      <c r="G228" s="96" t="s">
        <v>342</v>
      </c>
      <c r="H228" s="54"/>
      <c r="I228" s="16"/>
      <c r="J228" s="16"/>
      <c r="K228" s="16"/>
      <c r="L228" s="16"/>
      <c r="M228" s="16"/>
    </row>
    <row r="229" spans="1:13" ht="14.25">
      <c r="A229" s="17"/>
      <c r="B229" s="17"/>
      <c r="C229" s="18"/>
      <c r="D229" s="15"/>
      <c r="E229" s="15"/>
      <c r="F229" s="12"/>
      <c r="G229" s="12"/>
      <c r="H229" s="16"/>
      <c r="I229" s="16"/>
      <c r="J229" s="16"/>
      <c r="K229" s="16"/>
      <c r="L229" s="16"/>
      <c r="M229" s="16"/>
    </row>
    <row r="230" spans="1:13" ht="14.25">
      <c r="A230" s="17"/>
      <c r="B230" s="17"/>
      <c r="C230" s="18"/>
      <c r="D230" s="15"/>
      <c r="E230" s="15"/>
      <c r="F230" s="12"/>
      <c r="G230" s="12"/>
      <c r="H230" s="16"/>
      <c r="I230" s="16"/>
      <c r="J230" s="16"/>
      <c r="K230" s="16"/>
      <c r="L230" s="16"/>
      <c r="M230" s="16"/>
    </row>
    <row r="231" spans="1:13" ht="14.25">
      <c r="A231" s="17"/>
      <c r="B231" s="17"/>
      <c r="C231" s="18"/>
      <c r="D231" s="15"/>
      <c r="E231" s="15"/>
      <c r="F231" s="12"/>
      <c r="G231" s="12"/>
      <c r="H231" s="16"/>
      <c r="I231" s="16"/>
      <c r="J231" s="16"/>
      <c r="K231" s="16"/>
      <c r="L231" s="16"/>
      <c r="M231" s="16"/>
    </row>
    <row r="232" spans="1:13" ht="14.25">
      <c r="A232" s="17"/>
      <c r="B232" s="17"/>
      <c r="C232" s="18"/>
      <c r="D232" s="15"/>
      <c r="E232" s="15"/>
      <c r="F232" s="12"/>
      <c r="G232" s="12"/>
      <c r="H232" s="16"/>
      <c r="I232" s="16"/>
      <c r="J232" s="16"/>
      <c r="K232" s="16"/>
      <c r="L232" s="16"/>
      <c r="M232" s="16"/>
    </row>
    <row r="233" spans="1:13" ht="14.25">
      <c r="A233" s="17"/>
      <c r="B233" s="17"/>
      <c r="C233" s="18"/>
      <c r="D233" s="15"/>
      <c r="E233" s="15"/>
      <c r="F233" s="12"/>
      <c r="G233" s="12"/>
      <c r="H233" s="16"/>
      <c r="I233" s="16"/>
      <c r="J233" s="16"/>
      <c r="K233" s="16"/>
      <c r="L233" s="16"/>
      <c r="M233" s="16"/>
    </row>
    <row r="234" spans="1:13" ht="14.25">
      <c r="A234" s="17"/>
      <c r="B234" s="17"/>
      <c r="C234" s="18"/>
      <c r="D234" s="15"/>
      <c r="E234" s="15"/>
      <c r="F234" s="12"/>
      <c r="G234" s="12"/>
      <c r="H234" s="16"/>
      <c r="I234" s="16"/>
      <c r="J234" s="16"/>
      <c r="K234" s="16"/>
      <c r="L234" s="16"/>
      <c r="M234" s="16"/>
    </row>
    <row r="235" spans="1:13" ht="14.25">
      <c r="A235" s="17"/>
      <c r="B235" s="17"/>
      <c r="C235" s="18"/>
      <c r="D235" s="15"/>
      <c r="E235" s="15"/>
      <c r="F235" s="12"/>
      <c r="G235" s="12"/>
      <c r="H235" s="16"/>
      <c r="I235" s="16"/>
      <c r="J235" s="16"/>
      <c r="K235" s="16"/>
      <c r="L235" s="16"/>
      <c r="M235" s="16"/>
    </row>
    <row r="236" spans="1:13" ht="14.25">
      <c r="A236" s="17"/>
      <c r="B236" s="17"/>
      <c r="C236" s="18"/>
      <c r="D236" s="15"/>
      <c r="E236" s="15"/>
      <c r="F236" s="12"/>
      <c r="G236" s="12"/>
      <c r="H236" s="16"/>
      <c r="I236" s="16"/>
      <c r="J236" s="16"/>
      <c r="K236" s="16"/>
      <c r="L236" s="16"/>
      <c r="M236" s="16"/>
    </row>
    <row r="237" spans="1:13" ht="14.25">
      <c r="A237" s="17"/>
      <c r="B237" s="17"/>
      <c r="C237" s="18"/>
      <c r="D237" s="15"/>
      <c r="E237" s="15"/>
      <c r="F237" s="12"/>
      <c r="G237" s="12"/>
      <c r="H237" s="16"/>
      <c r="I237" s="16"/>
      <c r="J237" s="16"/>
      <c r="K237" s="16"/>
      <c r="L237" s="16"/>
      <c r="M237" s="16"/>
    </row>
    <row r="238" spans="1:13" ht="14.25">
      <c r="A238" s="17"/>
      <c r="B238" s="17"/>
      <c r="C238" s="18"/>
      <c r="D238" s="15"/>
      <c r="E238" s="15"/>
      <c r="F238" s="12"/>
      <c r="G238" s="12"/>
      <c r="H238" s="16"/>
      <c r="I238" s="16"/>
      <c r="J238" s="16"/>
      <c r="K238" s="16"/>
      <c r="L238" s="16"/>
      <c r="M238" s="16"/>
    </row>
    <row r="239" spans="1:13" ht="14.25">
      <c r="A239" s="17"/>
      <c r="B239" s="17"/>
      <c r="C239" s="18"/>
      <c r="D239" s="15"/>
      <c r="E239" s="15"/>
      <c r="F239" s="12"/>
      <c r="G239" s="12"/>
      <c r="H239" s="16"/>
      <c r="I239" s="16"/>
      <c r="J239" s="16"/>
      <c r="K239" s="16"/>
      <c r="L239" s="16"/>
      <c r="M239" s="16"/>
    </row>
    <row r="240" spans="1:13" ht="14.25">
      <c r="A240" s="17"/>
      <c r="B240" s="17"/>
      <c r="C240" s="18"/>
      <c r="D240" s="15"/>
      <c r="E240" s="15"/>
      <c r="F240" s="12"/>
      <c r="G240" s="12"/>
      <c r="H240" s="16"/>
      <c r="I240" s="16"/>
      <c r="J240" s="16"/>
      <c r="K240" s="16"/>
      <c r="L240" s="16"/>
      <c r="M240" s="16"/>
    </row>
    <row r="241" spans="1:13" ht="14.25">
      <c r="A241" s="17"/>
      <c r="B241" s="17"/>
      <c r="C241" s="18"/>
      <c r="D241" s="15"/>
      <c r="E241" s="15"/>
      <c r="F241" s="12"/>
      <c r="G241" s="12"/>
      <c r="H241" s="16"/>
      <c r="I241" s="16"/>
      <c r="J241" s="16"/>
      <c r="K241" s="16"/>
      <c r="L241" s="16"/>
      <c r="M241" s="16"/>
    </row>
    <row r="242" spans="1:13" ht="14.25">
      <c r="A242" s="17"/>
      <c r="B242" s="17"/>
      <c r="C242" s="18"/>
      <c r="D242" s="15"/>
      <c r="E242" s="15"/>
      <c r="F242" s="12"/>
      <c r="G242" s="12"/>
      <c r="H242" s="16"/>
      <c r="I242" s="16"/>
      <c r="J242" s="16"/>
      <c r="K242" s="16"/>
      <c r="L242" s="16"/>
      <c r="M242" s="16"/>
    </row>
    <row r="243" spans="1:13" ht="14.25">
      <c r="A243" s="17"/>
      <c r="B243" s="17"/>
      <c r="C243" s="18"/>
      <c r="D243" s="15"/>
      <c r="E243" s="15"/>
      <c r="F243" s="12"/>
      <c r="G243" s="12"/>
      <c r="H243" s="16"/>
      <c r="I243" s="16"/>
      <c r="J243" s="16"/>
      <c r="K243" s="16"/>
      <c r="L243" s="16"/>
      <c r="M243" s="16"/>
    </row>
    <row r="244" spans="1:13" ht="14.25">
      <c r="A244" s="17"/>
      <c r="B244" s="17"/>
      <c r="C244" s="18"/>
      <c r="D244" s="15"/>
      <c r="E244" s="15"/>
      <c r="F244" s="12"/>
      <c r="G244" s="12"/>
      <c r="H244" s="16"/>
      <c r="I244" s="16"/>
      <c r="J244" s="16"/>
      <c r="K244" s="16"/>
      <c r="L244" s="16"/>
      <c r="M244" s="16"/>
    </row>
    <row r="245" spans="1:13" ht="14.25">
      <c r="A245" s="17"/>
      <c r="B245" s="17"/>
      <c r="C245" s="18"/>
      <c r="D245" s="15"/>
      <c r="E245" s="15"/>
      <c r="F245" s="12"/>
      <c r="G245" s="12"/>
      <c r="H245" s="16"/>
      <c r="I245" s="16"/>
      <c r="J245" s="16"/>
      <c r="K245" s="16"/>
      <c r="L245" s="16"/>
      <c r="M245" s="16"/>
    </row>
    <row r="246" spans="1:13" ht="14.25">
      <c r="A246" s="17"/>
      <c r="B246" s="17"/>
      <c r="C246" s="18"/>
      <c r="D246" s="15"/>
      <c r="E246" s="15"/>
      <c r="F246" s="12"/>
      <c r="G246" s="12"/>
      <c r="H246" s="16"/>
      <c r="I246" s="16"/>
      <c r="J246" s="16"/>
      <c r="K246" s="16"/>
      <c r="L246" s="16"/>
      <c r="M246" s="16"/>
    </row>
    <row r="247" spans="1:13" ht="14.25">
      <c r="A247" s="17"/>
      <c r="B247" s="17"/>
      <c r="C247" s="18"/>
      <c r="D247" s="15"/>
      <c r="E247" s="15"/>
      <c r="F247" s="12"/>
      <c r="G247" s="12"/>
      <c r="H247" s="16"/>
      <c r="I247" s="16"/>
      <c r="J247" s="16"/>
      <c r="K247" s="16"/>
      <c r="L247" s="16"/>
      <c r="M247" s="16"/>
    </row>
    <row r="248" spans="1:13" ht="14.25">
      <c r="A248" s="17"/>
      <c r="B248" s="17"/>
      <c r="C248" s="18"/>
      <c r="D248" s="15"/>
      <c r="E248" s="15"/>
      <c r="F248" s="12"/>
      <c r="G248" s="12"/>
      <c r="H248" s="16"/>
      <c r="I248" s="16"/>
      <c r="J248" s="16"/>
      <c r="K248" s="16"/>
      <c r="L248" s="16"/>
      <c r="M248" s="16"/>
    </row>
    <row r="249" spans="1:13" ht="14.25">
      <c r="A249" s="17"/>
      <c r="B249" s="17"/>
      <c r="C249" s="18"/>
      <c r="D249" s="15"/>
      <c r="E249" s="15"/>
      <c r="F249" s="12"/>
      <c r="G249" s="12"/>
      <c r="H249" s="16"/>
      <c r="I249" s="16"/>
      <c r="J249" s="16"/>
      <c r="K249" s="16"/>
      <c r="L249" s="16"/>
      <c r="M249" s="16"/>
    </row>
    <row r="250" spans="1:13" ht="14.25">
      <c r="A250" s="17"/>
      <c r="B250" s="17"/>
      <c r="C250" s="18"/>
      <c r="D250" s="15"/>
      <c r="E250" s="15"/>
      <c r="F250" s="12"/>
      <c r="G250" s="12"/>
      <c r="H250" s="16"/>
      <c r="I250" s="16"/>
      <c r="J250" s="16"/>
      <c r="K250" s="16"/>
      <c r="L250" s="16"/>
      <c r="M250" s="16"/>
    </row>
    <row r="251" spans="1:13" ht="14.25">
      <c r="A251" s="17"/>
      <c r="B251" s="17"/>
      <c r="C251" s="18"/>
      <c r="D251" s="15"/>
      <c r="E251" s="15"/>
      <c r="F251" s="12"/>
      <c r="G251" s="12"/>
      <c r="H251" s="16"/>
      <c r="I251" s="16"/>
      <c r="J251" s="16"/>
      <c r="K251" s="16"/>
      <c r="L251" s="16"/>
      <c r="M251" s="16"/>
    </row>
    <row r="252" spans="1:13" ht="14.25">
      <c r="A252" s="17"/>
      <c r="B252" s="17"/>
      <c r="C252" s="18"/>
      <c r="D252" s="15"/>
      <c r="E252" s="15"/>
      <c r="F252" s="12"/>
      <c r="G252" s="12"/>
      <c r="H252" s="16"/>
      <c r="I252" s="16"/>
      <c r="J252" s="16"/>
      <c r="K252" s="16"/>
      <c r="L252" s="16"/>
      <c r="M252" s="16"/>
    </row>
    <row r="253" spans="1:13" ht="14.25">
      <c r="A253" s="17"/>
      <c r="B253" s="17"/>
      <c r="C253" s="18"/>
      <c r="D253" s="15"/>
      <c r="E253" s="15"/>
      <c r="F253" s="12"/>
      <c r="G253" s="12"/>
      <c r="H253" s="16"/>
      <c r="I253" s="16"/>
      <c r="J253" s="16"/>
      <c r="K253" s="16"/>
      <c r="L253" s="16"/>
      <c r="M253" s="16"/>
    </row>
    <row r="254" spans="1:13" ht="14.25">
      <c r="A254" s="17"/>
      <c r="B254" s="17"/>
      <c r="C254" s="18"/>
      <c r="D254" s="15"/>
      <c r="E254" s="15"/>
      <c r="F254" s="12"/>
      <c r="G254" s="12"/>
      <c r="H254" s="16"/>
      <c r="I254" s="16"/>
      <c r="J254" s="16"/>
      <c r="K254" s="16"/>
      <c r="L254" s="16"/>
      <c r="M254" s="16"/>
    </row>
    <row r="255" spans="1:13" ht="14.25">
      <c r="A255" s="17"/>
      <c r="B255" s="17"/>
      <c r="C255" s="18"/>
      <c r="D255" s="15"/>
      <c r="E255" s="15"/>
      <c r="F255" s="12"/>
      <c r="G255" s="12"/>
      <c r="H255" s="16"/>
      <c r="I255" s="16"/>
      <c r="J255" s="16"/>
      <c r="K255" s="16"/>
      <c r="L255" s="16"/>
      <c r="M255" s="16"/>
    </row>
    <row r="256" spans="1:13" ht="14.25">
      <c r="A256" s="17"/>
      <c r="B256" s="17"/>
      <c r="C256" s="18"/>
      <c r="D256" s="15"/>
      <c r="E256" s="15"/>
      <c r="F256" s="12"/>
      <c r="G256" s="12"/>
      <c r="H256" s="16"/>
      <c r="I256" s="16"/>
      <c r="J256" s="16"/>
      <c r="K256" s="16"/>
      <c r="L256" s="16"/>
      <c r="M256" s="16"/>
    </row>
    <row r="257" spans="1:13" ht="14.25">
      <c r="A257" s="17"/>
      <c r="B257" s="17"/>
      <c r="C257" s="18"/>
      <c r="D257" s="15"/>
      <c r="E257" s="15"/>
      <c r="F257" s="12"/>
      <c r="G257" s="12"/>
      <c r="H257" s="16"/>
      <c r="I257" s="16"/>
      <c r="J257" s="16"/>
      <c r="K257" s="16"/>
      <c r="L257" s="16"/>
      <c r="M257" s="16"/>
    </row>
    <row r="258" spans="1:13" ht="14.25">
      <c r="A258" s="17"/>
      <c r="B258" s="17"/>
      <c r="C258" s="18"/>
      <c r="D258" s="15"/>
      <c r="E258" s="15"/>
      <c r="F258" s="12"/>
      <c r="G258" s="12"/>
      <c r="H258" s="16"/>
      <c r="I258" s="16"/>
      <c r="J258" s="16"/>
      <c r="K258" s="16"/>
      <c r="L258" s="16"/>
      <c r="M258" s="16"/>
    </row>
    <row r="259" spans="1:13" ht="14.25">
      <c r="A259" s="17"/>
      <c r="B259" s="17"/>
      <c r="C259" s="18"/>
      <c r="D259" s="15"/>
      <c r="E259" s="15"/>
      <c r="F259" s="12"/>
      <c r="G259" s="12"/>
      <c r="H259" s="16"/>
      <c r="I259" s="16"/>
      <c r="J259" s="16"/>
      <c r="K259" s="16"/>
      <c r="L259" s="16"/>
      <c r="M259" s="16"/>
    </row>
    <row r="260" spans="1:13" ht="14.25">
      <c r="A260" s="17"/>
      <c r="B260" s="17"/>
      <c r="C260" s="18"/>
      <c r="D260" s="15"/>
      <c r="E260" s="15"/>
      <c r="F260" s="12"/>
      <c r="G260" s="12"/>
      <c r="H260" s="16"/>
      <c r="I260" s="16"/>
      <c r="J260" s="16"/>
      <c r="K260" s="16"/>
      <c r="L260" s="16"/>
      <c r="M260" s="16"/>
    </row>
    <row r="261" spans="1:13" ht="14.25">
      <c r="A261" s="17"/>
      <c r="B261" s="17"/>
      <c r="C261" s="18"/>
      <c r="D261" s="15"/>
      <c r="E261" s="15"/>
      <c r="F261" s="12"/>
      <c r="G261" s="12"/>
      <c r="H261" s="16"/>
      <c r="I261" s="16"/>
      <c r="J261" s="16"/>
      <c r="K261" s="16"/>
      <c r="L261" s="16"/>
      <c r="M261" s="16"/>
    </row>
    <row r="262" spans="1:13" ht="14.25">
      <c r="A262" s="18"/>
      <c r="B262" s="17"/>
      <c r="C262" s="17"/>
      <c r="D262" s="15"/>
      <c r="E262" s="15"/>
      <c r="F262" s="12"/>
      <c r="G262" s="12"/>
      <c r="H262" s="16"/>
      <c r="I262" s="16"/>
      <c r="J262" s="16"/>
      <c r="K262" s="16"/>
      <c r="L262" s="16"/>
      <c r="M262" s="16"/>
    </row>
    <row r="263" spans="1:13" ht="14.25">
      <c r="A263" s="18"/>
      <c r="B263" s="17"/>
      <c r="C263" s="17"/>
      <c r="D263" s="15"/>
      <c r="E263" s="15"/>
      <c r="F263" s="12"/>
      <c r="G263" s="12"/>
      <c r="H263" s="16"/>
      <c r="I263" s="16"/>
      <c r="J263" s="16"/>
      <c r="K263" s="16"/>
      <c r="L263" s="16"/>
      <c r="M263" s="16"/>
    </row>
    <row r="264" spans="1:13" ht="14.25">
      <c r="A264" s="18"/>
      <c r="B264" s="17"/>
      <c r="C264" s="17"/>
      <c r="D264" s="15"/>
      <c r="E264" s="15"/>
      <c r="F264" s="12"/>
      <c r="G264" s="12"/>
      <c r="H264" s="16"/>
      <c r="I264" s="16"/>
      <c r="J264" s="16"/>
      <c r="K264" s="16"/>
      <c r="L264" s="16"/>
      <c r="M264" s="16"/>
    </row>
    <row r="265" spans="1:13" ht="14.25">
      <c r="A265" s="18"/>
      <c r="B265" s="17"/>
      <c r="C265" s="17"/>
      <c r="D265" s="15"/>
      <c r="E265" s="15"/>
      <c r="F265" s="12"/>
      <c r="G265" s="12"/>
      <c r="H265" s="16"/>
      <c r="I265" s="16"/>
      <c r="J265" s="16"/>
      <c r="K265" s="16"/>
      <c r="L265" s="16"/>
      <c r="M265" s="16"/>
    </row>
    <row r="266" spans="1:13" ht="14.25">
      <c r="A266" s="18"/>
      <c r="B266" s="17"/>
      <c r="C266" s="17"/>
      <c r="D266" s="15"/>
      <c r="E266" s="15"/>
      <c r="F266" s="12"/>
      <c r="G266" s="12"/>
      <c r="H266" s="16"/>
      <c r="I266" s="16"/>
      <c r="J266" s="16"/>
      <c r="K266" s="16"/>
      <c r="L266" s="16"/>
      <c r="M266" s="16"/>
    </row>
    <row r="267" spans="1:13" ht="14.25">
      <c r="A267" s="18"/>
      <c r="B267" s="17"/>
      <c r="C267" s="17"/>
      <c r="D267" s="15"/>
      <c r="E267" s="15"/>
      <c r="F267" s="12"/>
      <c r="G267" s="12"/>
      <c r="H267" s="16"/>
      <c r="I267" s="16"/>
      <c r="J267" s="16"/>
      <c r="K267" s="16"/>
      <c r="L267" s="16"/>
      <c r="M267" s="16"/>
    </row>
    <row r="268" spans="1:13" ht="14.25">
      <c r="A268" s="18"/>
      <c r="B268" s="17"/>
      <c r="C268" s="17"/>
      <c r="D268" s="15"/>
      <c r="E268" s="15"/>
      <c r="F268" s="12"/>
      <c r="G268" s="12"/>
      <c r="H268" s="16"/>
      <c r="I268" s="16"/>
      <c r="J268" s="16"/>
      <c r="K268" s="16"/>
      <c r="L268" s="16"/>
      <c r="M268" s="16"/>
    </row>
    <row r="269" spans="1:13" ht="14.25">
      <c r="A269" s="18"/>
      <c r="B269" s="17"/>
      <c r="C269" s="17"/>
      <c r="D269" s="15"/>
      <c r="E269" s="15"/>
      <c r="F269" s="12"/>
      <c r="G269" s="12"/>
      <c r="H269" s="16"/>
      <c r="I269" s="16"/>
      <c r="J269" s="16"/>
      <c r="K269" s="16"/>
      <c r="L269" s="16"/>
      <c r="M269" s="16"/>
    </row>
    <row r="270" spans="1:13" ht="14.25">
      <c r="A270" s="18"/>
      <c r="B270" s="17"/>
      <c r="C270" s="17"/>
      <c r="D270" s="15"/>
      <c r="E270" s="15"/>
      <c r="F270" s="12"/>
      <c r="G270" s="12"/>
      <c r="H270" s="16"/>
      <c r="I270" s="16"/>
      <c r="J270" s="16"/>
      <c r="K270" s="16"/>
      <c r="L270" s="16"/>
      <c r="M270" s="16"/>
    </row>
    <row r="271" spans="1:13" ht="14.25">
      <c r="A271" s="18"/>
      <c r="B271" s="17"/>
      <c r="C271" s="17"/>
      <c r="D271" s="15"/>
      <c r="E271" s="15"/>
      <c r="F271" s="12"/>
      <c r="G271" s="12"/>
      <c r="H271" s="16"/>
      <c r="I271" s="16"/>
      <c r="J271" s="16"/>
      <c r="K271" s="16"/>
      <c r="L271" s="16"/>
      <c r="M271" s="16"/>
    </row>
    <row r="272" spans="1:13" ht="14.25">
      <c r="A272" s="18"/>
      <c r="B272" s="17"/>
      <c r="C272" s="17"/>
      <c r="D272" s="15"/>
      <c r="E272" s="15"/>
      <c r="F272" s="12"/>
      <c r="G272" s="12"/>
      <c r="H272" s="16"/>
      <c r="I272" s="16"/>
      <c r="J272" s="16"/>
      <c r="K272" s="16"/>
      <c r="L272" s="16"/>
      <c r="M272" s="16"/>
    </row>
    <row r="273" spans="1:13" ht="14.25">
      <c r="A273" s="18"/>
      <c r="B273" s="17"/>
      <c r="C273" s="17"/>
      <c r="D273" s="15"/>
      <c r="E273" s="15"/>
      <c r="F273" s="12"/>
      <c r="G273" s="12"/>
      <c r="H273" s="16"/>
      <c r="I273" s="16"/>
      <c r="J273" s="16"/>
      <c r="K273" s="16"/>
      <c r="L273" s="16"/>
      <c r="M273" s="16"/>
    </row>
    <row r="274" spans="1:13" ht="14.25">
      <c r="A274" s="18"/>
      <c r="B274" s="17"/>
      <c r="C274" s="17"/>
      <c r="D274" s="15"/>
      <c r="E274" s="15"/>
      <c r="F274" s="12"/>
      <c r="G274" s="12"/>
      <c r="H274" s="16"/>
      <c r="I274" s="16"/>
      <c r="J274" s="16"/>
      <c r="K274" s="16"/>
      <c r="L274" s="16"/>
      <c r="M274" s="16"/>
    </row>
    <row r="275" spans="1:13" ht="14.25">
      <c r="A275" s="18"/>
      <c r="B275" s="17"/>
      <c r="C275" s="17"/>
      <c r="D275" s="15"/>
      <c r="E275" s="15"/>
      <c r="F275" s="12"/>
      <c r="G275" s="12"/>
      <c r="H275" s="16"/>
      <c r="I275" s="16"/>
      <c r="J275" s="16"/>
      <c r="K275" s="16"/>
      <c r="L275" s="16"/>
      <c r="M275" s="16"/>
    </row>
    <row r="276" spans="1:13" ht="14.25">
      <c r="A276" s="18"/>
      <c r="B276" s="17"/>
      <c r="C276" s="17"/>
      <c r="D276" s="15"/>
      <c r="E276" s="15"/>
      <c r="F276" s="12"/>
      <c r="G276" s="12"/>
      <c r="H276" s="16"/>
      <c r="I276" s="16"/>
      <c r="J276" s="16"/>
      <c r="K276" s="16"/>
      <c r="L276" s="16"/>
      <c r="M276" s="16"/>
    </row>
    <row r="277" spans="1:13" ht="14.25">
      <c r="A277" s="18"/>
      <c r="B277" s="17"/>
      <c r="C277" s="17"/>
      <c r="D277" s="15"/>
      <c r="E277" s="15"/>
      <c r="F277" s="12"/>
      <c r="G277" s="12"/>
      <c r="H277" s="16"/>
      <c r="I277" s="16"/>
      <c r="J277" s="16"/>
      <c r="K277" s="16"/>
      <c r="L277" s="16"/>
      <c r="M277" s="16"/>
    </row>
    <row r="278" spans="1:13" ht="14.25">
      <c r="A278" s="18"/>
      <c r="B278" s="17"/>
      <c r="C278" s="17"/>
      <c r="D278" s="15"/>
      <c r="E278" s="15"/>
      <c r="F278" s="12"/>
      <c r="G278" s="12"/>
      <c r="H278" s="16"/>
      <c r="I278" s="16"/>
      <c r="J278" s="16"/>
      <c r="K278" s="16"/>
      <c r="L278" s="16"/>
      <c r="M278" s="16"/>
    </row>
    <row r="279" spans="1:13" ht="14.25">
      <c r="A279" s="18"/>
      <c r="B279" s="17"/>
      <c r="C279" s="17"/>
      <c r="D279" s="15"/>
      <c r="E279" s="15"/>
      <c r="F279" s="12"/>
      <c r="G279" s="12"/>
      <c r="H279" s="16"/>
      <c r="I279" s="16"/>
      <c r="J279" s="16"/>
      <c r="K279" s="16"/>
      <c r="L279" s="16"/>
      <c r="M279" s="16"/>
    </row>
    <row r="280" spans="1:13" ht="14.25">
      <c r="A280" s="18"/>
      <c r="B280" s="17"/>
      <c r="C280" s="17"/>
      <c r="D280" s="15"/>
      <c r="E280" s="15"/>
      <c r="F280" s="12"/>
      <c r="G280" s="12"/>
      <c r="H280" s="16"/>
      <c r="I280" s="16"/>
      <c r="J280" s="16"/>
      <c r="K280" s="16"/>
      <c r="L280" s="16"/>
      <c r="M280" s="16"/>
    </row>
    <row r="281" spans="1:13" ht="14.25">
      <c r="A281" s="18"/>
      <c r="B281" s="17"/>
      <c r="C281" s="17"/>
      <c r="D281" s="15"/>
      <c r="E281" s="15"/>
      <c r="F281" s="12"/>
      <c r="G281" s="12"/>
      <c r="H281" s="16"/>
      <c r="I281" s="16"/>
      <c r="J281" s="16"/>
      <c r="K281" s="16"/>
      <c r="L281" s="16"/>
      <c r="M281" s="16"/>
    </row>
    <row r="282" spans="1:13" ht="14.25">
      <c r="A282" s="18"/>
      <c r="B282" s="17"/>
      <c r="C282" s="17"/>
      <c r="D282" s="15"/>
      <c r="E282" s="15"/>
      <c r="F282" s="12"/>
      <c r="G282" s="12"/>
      <c r="H282" s="16"/>
      <c r="I282" s="16"/>
      <c r="J282" s="16"/>
      <c r="K282" s="16"/>
      <c r="L282" s="16"/>
      <c r="M282" s="16"/>
    </row>
    <row r="283" spans="1:13" ht="14.25">
      <c r="A283" s="18"/>
      <c r="B283" s="17"/>
      <c r="C283" s="17"/>
      <c r="D283" s="15"/>
      <c r="E283" s="15"/>
      <c r="F283" s="12"/>
      <c r="G283" s="12"/>
      <c r="H283" s="16"/>
      <c r="I283" s="16"/>
      <c r="J283" s="16"/>
      <c r="K283" s="16"/>
      <c r="L283" s="16"/>
      <c r="M283" s="16"/>
    </row>
    <row r="284" spans="1:13" ht="14.25">
      <c r="A284" s="18"/>
      <c r="B284" s="17"/>
      <c r="C284" s="17"/>
      <c r="D284" s="15"/>
      <c r="E284" s="15"/>
      <c r="F284" s="12"/>
      <c r="G284" s="12"/>
      <c r="H284" s="16"/>
      <c r="I284" s="16"/>
      <c r="J284" s="16"/>
      <c r="K284" s="16"/>
      <c r="L284" s="16"/>
      <c r="M284" s="16"/>
    </row>
    <row r="285" spans="1:13" ht="14.25">
      <c r="A285" s="18"/>
      <c r="B285" s="17"/>
      <c r="C285" s="17"/>
      <c r="D285" s="15"/>
      <c r="E285" s="15"/>
      <c r="F285" s="12"/>
      <c r="G285" s="12"/>
      <c r="H285" s="16"/>
      <c r="I285" s="16"/>
      <c r="J285" s="16"/>
      <c r="K285" s="16"/>
      <c r="L285" s="16"/>
      <c r="M285" s="16"/>
    </row>
    <row r="286" spans="1:13" ht="14.25">
      <c r="A286" s="18"/>
      <c r="B286" s="17"/>
      <c r="C286" s="17"/>
      <c r="D286" s="15"/>
      <c r="E286" s="15"/>
      <c r="F286" s="12"/>
      <c r="G286" s="12"/>
      <c r="H286" s="16"/>
      <c r="I286" s="16"/>
      <c r="J286" s="16"/>
      <c r="K286" s="16"/>
      <c r="L286" s="16"/>
      <c r="M286" s="16"/>
    </row>
    <row r="287" spans="1:13" ht="14.25">
      <c r="A287" s="18"/>
      <c r="B287" s="17"/>
      <c r="C287" s="17"/>
      <c r="D287" s="15"/>
      <c r="E287" s="15"/>
      <c r="F287" s="12"/>
      <c r="G287" s="12"/>
      <c r="H287" s="16"/>
      <c r="I287" s="16"/>
      <c r="J287" s="16"/>
      <c r="K287" s="16"/>
      <c r="L287" s="16"/>
      <c r="M287" s="16"/>
    </row>
    <row r="288" spans="1:13" ht="14.25">
      <c r="A288" s="18"/>
      <c r="B288" s="17"/>
      <c r="C288" s="17"/>
      <c r="D288" s="15"/>
      <c r="E288" s="15"/>
      <c r="F288" s="12"/>
      <c r="G288" s="12"/>
      <c r="H288" s="16"/>
      <c r="I288" s="16"/>
      <c r="J288" s="16"/>
      <c r="K288" s="16"/>
      <c r="L288" s="16"/>
      <c r="M288" s="16"/>
    </row>
    <row r="289" spans="1:13" ht="14.25">
      <c r="A289" s="18"/>
      <c r="B289" s="17"/>
      <c r="C289" s="17"/>
      <c r="D289" s="15"/>
      <c r="E289" s="15"/>
      <c r="F289" s="12"/>
      <c r="G289" s="12"/>
      <c r="H289" s="16"/>
      <c r="I289" s="16"/>
      <c r="J289" s="16"/>
      <c r="K289" s="16"/>
      <c r="L289" s="16"/>
      <c r="M289" s="16"/>
    </row>
    <row r="290" spans="1:13" ht="14.25">
      <c r="A290" s="18"/>
      <c r="B290" s="17"/>
      <c r="C290" s="17"/>
      <c r="D290" s="15"/>
      <c r="E290" s="15"/>
      <c r="F290" s="12"/>
      <c r="G290" s="12"/>
      <c r="H290" s="16"/>
      <c r="I290" s="16"/>
      <c r="J290" s="16"/>
      <c r="K290" s="16"/>
      <c r="L290" s="16"/>
      <c r="M290" s="16"/>
    </row>
    <row r="291" spans="1:13" ht="14.25">
      <c r="A291" s="18"/>
      <c r="B291" s="17"/>
      <c r="C291" s="17"/>
      <c r="D291" s="15"/>
      <c r="E291" s="15"/>
      <c r="F291" s="12"/>
      <c r="G291" s="12"/>
      <c r="H291" s="16"/>
      <c r="I291" s="16"/>
      <c r="J291" s="16"/>
      <c r="K291" s="16"/>
      <c r="L291" s="16"/>
      <c r="M291" s="16"/>
    </row>
    <row r="292" spans="1:13" ht="14.25">
      <c r="A292" s="18"/>
      <c r="B292" s="17"/>
      <c r="C292" s="17"/>
      <c r="D292" s="15"/>
      <c r="E292" s="15"/>
      <c r="F292" s="12"/>
      <c r="G292" s="12"/>
      <c r="H292" s="16"/>
      <c r="I292" s="16"/>
      <c r="J292" s="16"/>
      <c r="K292" s="16"/>
      <c r="L292" s="16"/>
      <c r="M292" s="16"/>
    </row>
    <row r="293" spans="1:13" ht="14.25">
      <c r="A293" s="18"/>
      <c r="B293" s="17"/>
      <c r="C293" s="17"/>
      <c r="D293" s="15"/>
      <c r="E293" s="15"/>
      <c r="F293" s="12"/>
      <c r="G293" s="12"/>
      <c r="H293" s="16"/>
      <c r="I293" s="16"/>
      <c r="J293" s="16"/>
      <c r="K293" s="16"/>
      <c r="L293" s="16"/>
      <c r="M293" s="16"/>
    </row>
    <row r="294" spans="1:13" ht="14.25">
      <c r="A294" s="18"/>
      <c r="B294" s="17"/>
      <c r="C294" s="17"/>
      <c r="D294" s="15"/>
      <c r="E294" s="15"/>
      <c r="F294" s="12"/>
      <c r="G294" s="12"/>
      <c r="H294" s="16"/>
      <c r="I294" s="16"/>
      <c r="J294" s="16"/>
      <c r="K294" s="16"/>
      <c r="L294" s="16"/>
      <c r="M294" s="16"/>
    </row>
    <row r="295" spans="1:13" ht="14.25">
      <c r="A295" s="18"/>
      <c r="B295" s="17"/>
      <c r="C295" s="17"/>
      <c r="D295" s="15"/>
      <c r="E295" s="15"/>
      <c r="F295" s="12"/>
      <c r="G295" s="12"/>
      <c r="H295" s="16"/>
      <c r="I295" s="16"/>
      <c r="J295" s="16"/>
      <c r="K295" s="16"/>
      <c r="L295" s="16"/>
      <c r="M295" s="16"/>
    </row>
    <row r="296" spans="1:13" ht="14.25">
      <c r="A296" s="18"/>
      <c r="B296" s="17"/>
      <c r="C296" s="17"/>
      <c r="D296" s="15"/>
      <c r="E296" s="15"/>
      <c r="F296" s="12"/>
      <c r="G296" s="12"/>
      <c r="H296" s="16"/>
      <c r="I296" s="16"/>
      <c r="J296" s="16"/>
      <c r="K296" s="16"/>
      <c r="L296" s="16"/>
      <c r="M296" s="16"/>
    </row>
    <row r="297" spans="1:13" ht="14.25">
      <c r="A297" s="18"/>
      <c r="B297" s="17"/>
      <c r="C297" s="17"/>
      <c r="D297" s="15"/>
      <c r="E297" s="15"/>
      <c r="F297" s="12"/>
      <c r="G297" s="12"/>
      <c r="H297" s="16"/>
      <c r="I297" s="16"/>
      <c r="J297" s="16"/>
      <c r="K297" s="16"/>
      <c r="L297" s="16"/>
      <c r="M297" s="16"/>
    </row>
    <row r="298" spans="1:13" ht="14.25">
      <c r="A298" s="18"/>
      <c r="B298" s="17"/>
      <c r="C298" s="17"/>
      <c r="D298" s="15"/>
      <c r="E298" s="15"/>
      <c r="F298" s="12"/>
      <c r="G298" s="12"/>
      <c r="H298" s="16"/>
      <c r="I298" s="16"/>
      <c r="J298" s="16"/>
      <c r="K298" s="16"/>
      <c r="L298" s="16"/>
      <c r="M298" s="16"/>
    </row>
    <row r="299" spans="1:13" ht="14.25">
      <c r="A299" s="18"/>
      <c r="B299" s="17"/>
      <c r="C299" s="17"/>
      <c r="D299" s="15"/>
      <c r="E299" s="15"/>
      <c r="F299" s="12"/>
      <c r="G299" s="12"/>
      <c r="H299" s="16"/>
      <c r="I299" s="16"/>
      <c r="J299" s="16"/>
      <c r="K299" s="16"/>
      <c r="L299" s="16"/>
      <c r="M299" s="16"/>
    </row>
    <row r="300" spans="1:13" ht="14.25">
      <c r="A300" s="18"/>
      <c r="B300" s="17"/>
      <c r="C300" s="17"/>
      <c r="D300" s="15"/>
      <c r="E300" s="15"/>
      <c r="F300" s="12"/>
      <c r="G300" s="12"/>
      <c r="H300" s="16"/>
      <c r="I300" s="16"/>
      <c r="J300" s="16"/>
      <c r="K300" s="16"/>
      <c r="L300" s="16"/>
      <c r="M300" s="16"/>
    </row>
    <row r="301" spans="1:13" ht="14.25">
      <c r="A301" s="18"/>
      <c r="B301" s="17"/>
      <c r="C301" s="17"/>
      <c r="D301" s="15"/>
      <c r="E301" s="15"/>
      <c r="F301" s="12"/>
      <c r="G301" s="12"/>
      <c r="H301" s="16"/>
      <c r="I301" s="16"/>
      <c r="J301" s="16"/>
      <c r="K301" s="16"/>
      <c r="L301" s="16"/>
      <c r="M301" s="16"/>
    </row>
    <row r="302" spans="1:13" ht="14.25">
      <c r="A302" s="18"/>
      <c r="B302" s="17"/>
      <c r="C302" s="17"/>
      <c r="D302" s="15"/>
      <c r="E302" s="15"/>
      <c r="F302" s="12"/>
      <c r="G302" s="12"/>
      <c r="H302" s="16"/>
      <c r="I302" s="16"/>
      <c r="J302" s="16"/>
      <c r="K302" s="16"/>
      <c r="L302" s="16"/>
      <c r="M302" s="16"/>
    </row>
    <row r="303" spans="1:13" ht="14.25">
      <c r="A303" s="18"/>
      <c r="B303" s="17"/>
      <c r="C303" s="17"/>
      <c r="D303" s="15"/>
      <c r="E303" s="15"/>
      <c r="F303" s="12"/>
      <c r="G303" s="12"/>
      <c r="H303" s="16"/>
      <c r="I303" s="16"/>
      <c r="J303" s="16"/>
      <c r="K303" s="16"/>
      <c r="L303" s="16"/>
      <c r="M303" s="16"/>
    </row>
    <row r="304" spans="1:13" ht="14.25">
      <c r="A304" s="18"/>
      <c r="B304" s="17"/>
      <c r="C304" s="17"/>
      <c r="D304" s="15"/>
      <c r="E304" s="15"/>
      <c r="F304" s="12"/>
      <c r="G304" s="12"/>
      <c r="H304" s="16"/>
      <c r="I304" s="16"/>
      <c r="J304" s="16"/>
      <c r="K304" s="16"/>
      <c r="L304" s="16"/>
      <c r="M304" s="16"/>
    </row>
    <row r="305" spans="1:13" ht="14.25">
      <c r="A305" s="18"/>
      <c r="B305" s="17"/>
      <c r="C305" s="17"/>
      <c r="D305" s="15"/>
      <c r="E305" s="15"/>
      <c r="F305" s="12"/>
      <c r="G305" s="12"/>
      <c r="H305" s="16"/>
      <c r="I305" s="16"/>
      <c r="J305" s="16"/>
      <c r="K305" s="16"/>
      <c r="L305" s="16"/>
      <c r="M305" s="16"/>
    </row>
    <row r="306" spans="1:13" ht="14.25">
      <c r="A306" s="18"/>
      <c r="B306" s="17"/>
      <c r="C306" s="17"/>
      <c r="D306" s="15"/>
      <c r="E306" s="15"/>
      <c r="F306" s="12"/>
      <c r="G306" s="12"/>
      <c r="H306" s="16"/>
      <c r="I306" s="16"/>
      <c r="J306" s="16"/>
      <c r="K306" s="16"/>
      <c r="L306" s="16"/>
      <c r="M306" s="16"/>
    </row>
    <row r="307" spans="1:13" ht="14.25">
      <c r="A307" s="18"/>
      <c r="B307" s="17"/>
      <c r="C307" s="17"/>
      <c r="D307" s="15"/>
      <c r="E307" s="15"/>
      <c r="F307" s="12"/>
      <c r="G307" s="12"/>
      <c r="H307" s="16"/>
      <c r="I307" s="16"/>
      <c r="J307" s="16"/>
      <c r="K307" s="16"/>
      <c r="L307" s="16"/>
      <c r="M307" s="16"/>
    </row>
    <row r="308" spans="1:13" ht="14.25">
      <c r="A308" s="18"/>
      <c r="B308" s="17"/>
      <c r="C308" s="17"/>
      <c r="D308" s="15"/>
      <c r="E308" s="15"/>
      <c r="F308" s="12"/>
      <c r="G308" s="12"/>
      <c r="H308" s="16"/>
      <c r="I308" s="16"/>
      <c r="J308" s="16"/>
      <c r="K308" s="16"/>
      <c r="L308" s="16"/>
      <c r="M308" s="16"/>
    </row>
    <row r="309" spans="1:13" ht="14.25">
      <c r="A309" s="18"/>
      <c r="B309" s="17"/>
      <c r="C309" s="17"/>
      <c r="D309" s="15"/>
      <c r="E309" s="15"/>
      <c r="F309" s="12"/>
      <c r="G309" s="12"/>
      <c r="H309" s="16"/>
      <c r="I309" s="16"/>
      <c r="J309" s="16"/>
      <c r="K309" s="16"/>
      <c r="L309" s="16"/>
      <c r="M309" s="16"/>
    </row>
    <row r="310" spans="1:13" ht="14.25">
      <c r="A310" s="18"/>
      <c r="B310" s="17"/>
      <c r="C310" s="17"/>
      <c r="D310" s="15"/>
      <c r="E310" s="15"/>
      <c r="F310" s="12"/>
      <c r="G310" s="12"/>
      <c r="H310" s="16"/>
      <c r="I310" s="16"/>
      <c r="J310" s="16"/>
      <c r="K310" s="16"/>
      <c r="L310" s="16"/>
      <c r="M310" s="16"/>
    </row>
    <row r="311" spans="1:13" ht="14.25">
      <c r="A311" s="18"/>
      <c r="B311" s="17"/>
      <c r="C311" s="17"/>
      <c r="D311" s="15"/>
      <c r="E311" s="15"/>
      <c r="F311" s="12"/>
      <c r="G311" s="12"/>
      <c r="H311" s="16"/>
      <c r="I311" s="16"/>
      <c r="J311" s="16"/>
      <c r="K311" s="16"/>
      <c r="L311" s="16"/>
      <c r="M311" s="16"/>
    </row>
    <row r="312" spans="1:13" ht="14.25">
      <c r="A312" s="18"/>
      <c r="B312" s="17"/>
      <c r="C312" s="17"/>
      <c r="D312" s="15"/>
      <c r="E312" s="15"/>
      <c r="F312" s="12"/>
      <c r="G312" s="12"/>
      <c r="H312" s="16"/>
      <c r="I312" s="16"/>
      <c r="J312" s="16"/>
      <c r="K312" s="16"/>
      <c r="L312" s="16"/>
      <c r="M312" s="16"/>
    </row>
    <row r="313" spans="1:13" ht="14.25">
      <c r="A313" s="18"/>
      <c r="B313" s="17"/>
      <c r="C313" s="17"/>
      <c r="D313" s="15"/>
      <c r="E313" s="15"/>
      <c r="F313" s="12"/>
      <c r="G313" s="12"/>
      <c r="H313" s="16"/>
      <c r="I313" s="16"/>
      <c r="J313" s="16"/>
      <c r="K313" s="16"/>
      <c r="L313" s="16"/>
      <c r="M313" s="16"/>
    </row>
    <row r="314" spans="1:13" ht="14.25">
      <c r="A314" s="18"/>
      <c r="B314" s="17"/>
      <c r="C314" s="17"/>
      <c r="D314" s="15"/>
      <c r="E314" s="15"/>
      <c r="F314" s="12"/>
      <c r="G314" s="12"/>
      <c r="H314" s="16"/>
      <c r="I314" s="16"/>
      <c r="J314" s="16"/>
      <c r="K314" s="16"/>
      <c r="L314" s="16"/>
      <c r="M314" s="16"/>
    </row>
    <row r="315" spans="1:13" ht="14.25">
      <c r="A315" s="18"/>
      <c r="B315" s="17"/>
      <c r="C315" s="17"/>
      <c r="D315" s="15"/>
      <c r="E315" s="15"/>
      <c r="F315" s="12"/>
      <c r="G315" s="12"/>
      <c r="H315" s="16"/>
      <c r="I315" s="16"/>
      <c r="J315" s="16"/>
      <c r="K315" s="16"/>
      <c r="L315" s="16"/>
      <c r="M315" s="16"/>
    </row>
    <row r="316" spans="1:13" ht="14.25">
      <c r="A316" s="18"/>
      <c r="B316" s="17"/>
      <c r="C316" s="17"/>
      <c r="D316" s="15"/>
      <c r="E316" s="15"/>
      <c r="F316" s="12"/>
      <c r="G316" s="12"/>
      <c r="H316" s="16"/>
      <c r="I316" s="16"/>
      <c r="J316" s="16"/>
      <c r="K316" s="16"/>
      <c r="L316" s="16"/>
      <c r="M316" s="16"/>
    </row>
    <row r="317" spans="1:13" ht="14.25">
      <c r="A317" s="18"/>
      <c r="B317" s="17"/>
      <c r="C317" s="17"/>
      <c r="D317" s="15"/>
      <c r="E317" s="15"/>
      <c r="F317" s="12"/>
      <c r="G317" s="12"/>
      <c r="H317" s="16"/>
      <c r="I317" s="16"/>
      <c r="J317" s="16"/>
      <c r="K317" s="16"/>
      <c r="L317" s="16"/>
      <c r="M317" s="16"/>
    </row>
    <row r="318" spans="1:13" ht="14.25">
      <c r="A318" s="18"/>
      <c r="B318" s="17"/>
      <c r="C318" s="17"/>
      <c r="D318" s="15"/>
      <c r="E318" s="15"/>
      <c r="F318" s="12"/>
      <c r="G318" s="12"/>
      <c r="H318" s="16"/>
      <c r="I318" s="16"/>
      <c r="J318" s="16"/>
      <c r="K318" s="16"/>
      <c r="L318" s="16"/>
      <c r="M318" s="16"/>
    </row>
    <row r="319" spans="1:13" ht="14.25">
      <c r="A319" s="18"/>
      <c r="B319" s="17"/>
      <c r="C319" s="17"/>
      <c r="D319" s="15"/>
      <c r="E319" s="15"/>
      <c r="F319" s="12"/>
      <c r="G319" s="12"/>
      <c r="H319" s="16"/>
      <c r="I319" s="16"/>
      <c r="J319" s="16"/>
      <c r="K319" s="16"/>
      <c r="L319" s="16"/>
      <c r="M319" s="16"/>
    </row>
    <row r="320" spans="1:13" ht="14.25">
      <c r="A320" s="18"/>
      <c r="B320" s="17"/>
      <c r="C320" s="17"/>
      <c r="D320" s="15"/>
      <c r="E320" s="15"/>
      <c r="F320" s="12"/>
      <c r="G320" s="12"/>
      <c r="H320" s="16"/>
      <c r="I320" s="16"/>
      <c r="J320" s="16"/>
      <c r="K320" s="16"/>
      <c r="L320" s="16"/>
      <c r="M320" s="16"/>
    </row>
    <row r="321" spans="1:10" ht="14.25">
      <c r="A321" s="18"/>
      <c r="B321" s="17"/>
      <c r="C321" s="17"/>
      <c r="D321" s="15"/>
      <c r="E321" s="15"/>
      <c r="F321" s="12"/>
      <c r="G321" s="12"/>
      <c r="H321" s="16"/>
      <c r="I321" s="16"/>
      <c r="J321" s="16"/>
    </row>
    <row r="322" spans="1:10" ht="14.25">
      <c r="A322" s="18"/>
      <c r="B322" s="17"/>
      <c r="C322" s="17"/>
      <c r="D322" s="15"/>
      <c r="E322" s="15"/>
      <c r="F322" s="12"/>
      <c r="G322" s="12"/>
      <c r="H322" s="16"/>
      <c r="I322" s="16"/>
      <c r="J322" s="16"/>
    </row>
    <row r="323" spans="1:10" ht="14.25">
      <c r="A323" s="18"/>
      <c r="B323" s="17"/>
      <c r="C323" s="17"/>
      <c r="D323" s="15"/>
      <c r="E323" s="15"/>
      <c r="F323" s="12"/>
      <c r="G323" s="12"/>
      <c r="H323" s="16"/>
      <c r="I323" s="16"/>
      <c r="J323" s="16"/>
    </row>
    <row r="324" spans="1:10" ht="14.25">
      <c r="A324" s="18"/>
      <c r="B324" s="17"/>
      <c r="C324" s="17"/>
      <c r="D324" s="15"/>
      <c r="E324" s="15"/>
      <c r="F324" s="12"/>
      <c r="G324" s="12"/>
      <c r="H324" s="16"/>
      <c r="I324" s="16"/>
      <c r="J324" s="16"/>
    </row>
    <row r="325" spans="1:7" ht="14.25">
      <c r="A325" s="11"/>
      <c r="B325" s="10"/>
      <c r="C325" s="9"/>
      <c r="D325" s="14"/>
      <c r="E325" s="14"/>
      <c r="F325" s="13"/>
      <c r="G325" s="13"/>
    </row>
    <row r="326" spans="1:7" ht="14.25">
      <c r="A326" s="11"/>
      <c r="B326" s="10"/>
      <c r="C326" s="9"/>
      <c r="D326" s="14"/>
      <c r="E326" s="14"/>
      <c r="F326" s="13"/>
      <c r="G326" s="13"/>
    </row>
    <row r="327" spans="1:7" ht="14.25">
      <c r="A327" s="11"/>
      <c r="B327" s="9"/>
      <c r="C327" s="10"/>
      <c r="D327" s="14"/>
      <c r="E327" s="14"/>
      <c r="F327" s="13"/>
      <c r="G327" s="13"/>
    </row>
    <row r="328" spans="1:7" ht="14.25">
      <c r="A328" s="11"/>
      <c r="B328" s="9"/>
      <c r="C328" s="10"/>
      <c r="D328" s="14"/>
      <c r="E328" s="14"/>
      <c r="F328" s="13"/>
      <c r="G328" s="13"/>
    </row>
    <row r="329" spans="1:7" ht="14.25">
      <c r="A329" s="11"/>
      <c r="B329" s="9"/>
      <c r="C329" s="10"/>
      <c r="D329" s="14"/>
      <c r="E329" s="14"/>
      <c r="F329" s="13"/>
      <c r="G329" s="13"/>
    </row>
    <row r="330" spans="1:7" ht="14.25">
      <c r="A330" s="11"/>
      <c r="B330" s="9"/>
      <c r="C330" s="10"/>
      <c r="D330" s="14"/>
      <c r="E330" s="14"/>
      <c r="F330" s="13"/>
      <c r="G330" s="13"/>
    </row>
    <row r="331" spans="1:7" ht="14.25">
      <c r="A331" s="11"/>
      <c r="B331" s="9"/>
      <c r="C331" s="10"/>
      <c r="D331" s="14"/>
      <c r="E331" s="14"/>
      <c r="F331" s="13"/>
      <c r="G331" s="13"/>
    </row>
    <row r="332" spans="1:7" ht="14.25">
      <c r="A332" s="11"/>
      <c r="B332" s="9"/>
      <c r="C332" s="10"/>
      <c r="D332" s="14"/>
      <c r="E332" s="14"/>
      <c r="F332" s="13"/>
      <c r="G332" s="13"/>
    </row>
    <row r="333" spans="1:7" ht="14.25">
      <c r="A333" s="11"/>
      <c r="B333" s="9"/>
      <c r="C333" s="10"/>
      <c r="D333" s="14"/>
      <c r="E333" s="14"/>
      <c r="F333" s="13"/>
      <c r="G333" s="13"/>
    </row>
    <row r="334" spans="1:7" ht="14.25">
      <c r="A334" s="11"/>
      <c r="B334" s="9"/>
      <c r="C334" s="10"/>
      <c r="D334" s="14"/>
      <c r="E334" s="14"/>
      <c r="F334" s="13"/>
      <c r="G334" s="13"/>
    </row>
  </sheetData>
  <sheetProtection/>
  <mergeCells count="4">
    <mergeCell ref="A5:F5"/>
    <mergeCell ref="A29:F29"/>
    <mergeCell ref="A88:F88"/>
    <mergeCell ref="A75:F7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D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0.7109375" style="1" customWidth="1"/>
    <col min="2" max="16384" width="9.140625" style="1" customWidth="1"/>
  </cols>
  <sheetData>
    <row r="1" ht="15">
      <c r="A1" s="2" t="s">
        <v>90</v>
      </c>
    </row>
    <row r="2" ht="14.25">
      <c r="A2" s="1" t="s">
        <v>154</v>
      </c>
    </row>
    <row r="3" ht="14.25">
      <c r="A3" s="1" t="s">
        <v>155</v>
      </c>
    </row>
    <row r="5" spans="1:4" ht="14.25">
      <c r="A5" s="38" t="s">
        <v>158</v>
      </c>
      <c r="B5" s="31" t="s">
        <v>153</v>
      </c>
      <c r="C5" s="31" t="s">
        <v>156</v>
      </c>
      <c r="D5" s="31" t="s">
        <v>157</v>
      </c>
    </row>
    <row r="6" spans="1:4" ht="14.25">
      <c r="A6" s="38" t="s">
        <v>159</v>
      </c>
      <c r="B6" s="31">
        <v>1</v>
      </c>
      <c r="C6" s="31">
        <v>298</v>
      </c>
      <c r="D6" s="31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W60"/>
  <sheetViews>
    <sheetView showGridLines="0" zoomScalePageLayoutView="0" workbookViewId="0" topLeftCell="J1">
      <selection activeCell="K4" sqref="K4"/>
    </sheetView>
  </sheetViews>
  <sheetFormatPr defaultColWidth="9.140625" defaultRowHeight="15"/>
  <cols>
    <col min="1" max="1" width="30.7109375" style="1" customWidth="1"/>
    <col min="2" max="3" width="9.140625" style="1" customWidth="1"/>
    <col min="4" max="4" width="30.7109375" style="1" customWidth="1"/>
    <col min="5" max="6" width="9.140625" style="1" customWidth="1"/>
    <col min="7" max="7" width="12.7109375" style="1" customWidth="1"/>
    <col min="8" max="9" width="9.140625" style="1" customWidth="1"/>
    <col min="10" max="10" width="20.7109375" style="1" customWidth="1"/>
    <col min="11" max="11" width="11.7109375" style="1" bestFit="1" customWidth="1"/>
    <col min="12" max="12" width="9.140625" style="1" customWidth="1"/>
    <col min="13" max="13" width="20.7109375" style="1" customWidth="1"/>
    <col min="14" max="15" width="9.140625" style="1" customWidth="1"/>
    <col min="16" max="16" width="20.7109375" style="1" customWidth="1"/>
    <col min="17" max="18" width="9.140625" style="1" customWidth="1"/>
    <col min="19" max="19" width="20.7109375" style="1" customWidth="1"/>
    <col min="20" max="21" width="9.140625" style="1" customWidth="1"/>
    <col min="22" max="22" width="20.7109375" style="1" customWidth="1"/>
    <col min="23" max="16384" width="9.140625" style="1" customWidth="1"/>
  </cols>
  <sheetData>
    <row r="1" spans="1:23" ht="15">
      <c r="A1" s="229" t="s">
        <v>105</v>
      </c>
      <c r="B1" s="226"/>
      <c r="C1" s="147"/>
      <c r="D1" s="234" t="s">
        <v>106</v>
      </c>
      <c r="E1" s="227"/>
      <c r="G1" s="229" t="s">
        <v>372</v>
      </c>
      <c r="H1" s="233"/>
      <c r="J1" s="229" t="s">
        <v>358</v>
      </c>
      <c r="K1" s="233"/>
      <c r="M1" s="229" t="s">
        <v>374</v>
      </c>
      <c r="N1" s="233"/>
      <c r="P1" s="229" t="s">
        <v>357</v>
      </c>
      <c r="Q1" s="233"/>
      <c r="S1" s="229" t="s">
        <v>359</v>
      </c>
      <c r="T1" s="233"/>
      <c r="V1" s="229" t="s">
        <v>360</v>
      </c>
      <c r="W1" s="233"/>
    </row>
    <row r="2" spans="1:23" ht="29.25">
      <c r="A2" s="138" t="s">
        <v>7</v>
      </c>
      <c r="B2" s="137" t="s">
        <v>370</v>
      </c>
      <c r="C2" s="148"/>
      <c r="D2" s="145" t="s">
        <v>5</v>
      </c>
      <c r="E2" s="53" t="s">
        <v>162</v>
      </c>
      <c r="G2" s="38" t="s">
        <v>216</v>
      </c>
      <c r="H2" s="53" t="s">
        <v>162</v>
      </c>
      <c r="J2" s="129" t="s">
        <v>28</v>
      </c>
      <c r="K2" s="8" t="s">
        <v>162</v>
      </c>
      <c r="M2" s="129" t="s">
        <v>11</v>
      </c>
      <c r="N2" s="8" t="s">
        <v>162</v>
      </c>
      <c r="P2" s="51" t="s">
        <v>375</v>
      </c>
      <c r="Q2" s="8" t="s">
        <v>162</v>
      </c>
      <c r="S2" s="174" t="s">
        <v>318</v>
      </c>
      <c r="V2" s="170"/>
      <c r="W2" s="8" t="s">
        <v>162</v>
      </c>
    </row>
    <row r="3" spans="1:23" ht="15">
      <c r="A3" s="138"/>
      <c r="B3" s="137"/>
      <c r="C3" s="148"/>
      <c r="D3" s="145"/>
      <c r="E3" s="53"/>
      <c r="G3" s="38"/>
      <c r="H3" s="53"/>
      <c r="J3" s="129" t="s">
        <v>379</v>
      </c>
      <c r="K3" s="8">
        <f>(4+298*0.01)*'6. Gödselmedel'!B9*'6. Gödselmedel'!C9</f>
        <v>0</v>
      </c>
      <c r="M3" s="129"/>
      <c r="N3" s="8"/>
      <c r="P3" s="51"/>
      <c r="Q3" s="8"/>
      <c r="S3" s="174"/>
      <c r="V3" s="170"/>
      <c r="W3" s="8"/>
    </row>
    <row r="4" spans="1:23" ht="28.5">
      <c r="A4" s="38" t="s">
        <v>141</v>
      </c>
      <c r="B4" s="141">
        <f>'2. Elektricitet'!C7*'2. Elektricitet'!C8</f>
        <v>0</v>
      </c>
      <c r="C4" s="149"/>
      <c r="D4" s="146" t="s">
        <v>130</v>
      </c>
      <c r="E4" s="54">
        <f>'3. Värme'!C10*Päästökertoimet!F54</f>
        <v>0</v>
      </c>
      <c r="G4" s="38" t="s">
        <v>262</v>
      </c>
      <c r="H4" s="3">
        <f>'5. Plantor&amp;lök'!C6*Päästökertoimet!F103</f>
        <v>0</v>
      </c>
      <c r="J4" s="125" t="s">
        <v>186</v>
      </c>
      <c r="K4" s="8">
        <f>'6. Gödselmedel'!B10*Päästökertoimet!G112</f>
        <v>0</v>
      </c>
      <c r="M4" s="129" t="s">
        <v>233</v>
      </c>
      <c r="N4" s="31">
        <f>'7. Växtunderlag'!D5*Päästökertoimet!G178</f>
        <v>0</v>
      </c>
      <c r="P4" s="51" t="s">
        <v>365</v>
      </c>
      <c r="Q4" s="8">
        <f>'8. Förpackningar'!C8*Päästökertoimet!F196*0.00233</f>
        <v>0</v>
      </c>
      <c r="S4" s="129"/>
      <c r="T4" s="8" t="s">
        <v>162</v>
      </c>
      <c r="V4" s="51" t="s">
        <v>329</v>
      </c>
      <c r="W4" s="8">
        <f>'10. Avfall'!C7*Päästökertoimet!F218</f>
        <v>0</v>
      </c>
    </row>
    <row r="5" spans="1:23" ht="42.75">
      <c r="A5" s="136" t="s">
        <v>369</v>
      </c>
      <c r="B5" s="142" t="s">
        <v>173</v>
      </c>
      <c r="C5" s="150"/>
      <c r="D5" s="146" t="s">
        <v>131</v>
      </c>
      <c r="E5" s="54">
        <f>'3. Värme'!C11*Päästökertoimet!F55</f>
        <v>0</v>
      </c>
      <c r="G5" s="38" t="s">
        <v>263</v>
      </c>
      <c r="H5" s="3">
        <f>'5. Plantor&amp;lök'!C7*Päästökertoimet!F102</f>
        <v>0</v>
      </c>
      <c r="J5" s="130" t="s">
        <v>26</v>
      </c>
      <c r="K5" s="8">
        <f>'6. Gödselmedel'!B11*Päästökertoimet!G113</f>
        <v>0</v>
      </c>
      <c r="M5" s="125" t="s">
        <v>218</v>
      </c>
      <c r="N5" s="31">
        <f>'7. Växtunderlag'!D6*Päästökertoimet!G179</f>
        <v>0</v>
      </c>
      <c r="P5" s="51" t="s">
        <v>354</v>
      </c>
      <c r="Q5" s="31">
        <f>'8. Förpackningar'!C9*Päästökertoimet!F186</f>
        <v>0</v>
      </c>
      <c r="S5" s="51" t="s">
        <v>319</v>
      </c>
      <c r="T5" s="31">
        <f>'9. Transport'!B12*'9. Transport'!C12*(Päästökertoimet!$F$212+Päästökertoimet!$F$211)/(0.7*40000)</f>
        <v>0</v>
      </c>
      <c r="V5" s="51" t="s">
        <v>330</v>
      </c>
      <c r="W5" s="8">
        <f>'10. Avfall'!C8*Päästökertoimet!F219</f>
        <v>0</v>
      </c>
    </row>
    <row r="6" spans="1:23" ht="14.25">
      <c r="A6" s="38" t="s">
        <v>144</v>
      </c>
      <c r="B6" s="141">
        <f>'2. Elektricitet'!$C$7*'2. Elektricitet'!C10*Päästökertoimet!F31</f>
        <v>0</v>
      </c>
      <c r="C6" s="149"/>
      <c r="D6" s="146" t="s">
        <v>120</v>
      </c>
      <c r="E6" s="54">
        <f>'3. Värme'!C12*Päästökertoimet!F56</f>
        <v>0</v>
      </c>
      <c r="G6" s="38" t="s">
        <v>316</v>
      </c>
      <c r="H6" s="3">
        <f>'5. Plantor&amp;lök'!C10*Päästökertoimet!F105</f>
        <v>0</v>
      </c>
      <c r="J6" s="131" t="s">
        <v>196</v>
      </c>
      <c r="K6" s="8">
        <f>'6. Gödselmedel'!B12*Päästökertoimet!G114</f>
        <v>0</v>
      </c>
      <c r="M6" s="130" t="s">
        <v>219</v>
      </c>
      <c r="N6" s="31">
        <f>'7. Växtunderlag'!D7*Päästökertoimet!G180</f>
        <v>0</v>
      </c>
      <c r="P6" s="51" t="s">
        <v>242</v>
      </c>
      <c r="Q6" s="31">
        <f>'8. Förpackningar'!C10*Päästökertoimet!F189</f>
        <v>0</v>
      </c>
      <c r="S6" s="51" t="s">
        <v>320</v>
      </c>
      <c r="T6" s="31">
        <f>'9. Transport'!B13*'9. Transport'!C13*(Päästökertoimet!$F$212+Päästökertoimet!$F$211)/(0.7*40000)</f>
        <v>0</v>
      </c>
      <c r="V6" s="51" t="s">
        <v>344</v>
      </c>
      <c r="W6" s="8">
        <f>'10. Avfall'!C9*Päästökertoimet!F220</f>
        <v>0</v>
      </c>
    </row>
    <row r="7" spans="1:23" ht="14.25">
      <c r="A7" s="38" t="s">
        <v>145</v>
      </c>
      <c r="B7" s="141">
        <f>'2. Elektricitet'!$C$7*'2. Elektricitet'!C11*Päästökertoimet!F32</f>
        <v>0</v>
      </c>
      <c r="C7" s="149"/>
      <c r="D7" s="146" t="s">
        <v>121</v>
      </c>
      <c r="E7" s="54">
        <f>'3. Värme'!C13*Päästökertoimet!F57</f>
        <v>0</v>
      </c>
      <c r="G7" s="38" t="s">
        <v>317</v>
      </c>
      <c r="H7" s="3">
        <f>'5. Plantor&amp;lök'!C11*Päästökertoimet!F104</f>
        <v>0</v>
      </c>
      <c r="J7" s="1" t="s">
        <v>386</v>
      </c>
      <c r="K7" s="8">
        <f>'6. Gödselmedel'!B13*Päästökertoimet!G115</f>
        <v>0</v>
      </c>
      <c r="M7" s="130" t="s">
        <v>373</v>
      </c>
      <c r="N7" s="31">
        <f>'7. Växtunderlag'!D8*Päästökertoimet!G180</f>
        <v>0</v>
      </c>
      <c r="P7" s="51" t="s">
        <v>243</v>
      </c>
      <c r="Q7" s="31">
        <f>'8. Förpackningar'!C11*Päästökertoimet!F190</f>
        <v>0</v>
      </c>
      <c r="S7" s="51" t="s">
        <v>323</v>
      </c>
      <c r="T7" s="31">
        <f>'9. Transport'!B14*'9. Transport'!C14*(Päästökertoimet!$F$212+Päästökertoimet!$F$211)/(0.7*40000)</f>
        <v>0</v>
      </c>
      <c r="V7" s="51" t="s">
        <v>331</v>
      </c>
      <c r="W7" s="8">
        <f>'10. Avfall'!C10*Päästökertoimet!F221</f>
        <v>0</v>
      </c>
    </row>
    <row r="8" spans="1:23" ht="14.25">
      <c r="A8" s="38" t="s">
        <v>179</v>
      </c>
      <c r="B8" s="141">
        <f>'2. Elektricitet'!$C$7*'2. Elektricitet'!C12*Päästökertoimet!F38</f>
        <v>0</v>
      </c>
      <c r="C8" s="149"/>
      <c r="D8" s="146" t="s">
        <v>122</v>
      </c>
      <c r="E8" s="54">
        <f>'3. Värme'!C14*Päästökertoimet!F58</f>
        <v>0</v>
      </c>
      <c r="J8" s="131" t="s">
        <v>194</v>
      </c>
      <c r="K8" s="8">
        <f>'6. Gödselmedel'!B14*Päästökertoimet!G116</f>
        <v>0</v>
      </c>
      <c r="M8" s="130" t="s">
        <v>231</v>
      </c>
      <c r="N8" s="31">
        <f>'7. Växtunderlag'!D9*Päästökertoimet!G181</f>
        <v>0</v>
      </c>
      <c r="P8" s="51" t="s">
        <v>361</v>
      </c>
      <c r="Q8" s="31">
        <f>'8. Förpackningar'!C12*Päästökertoimet!F197*0.005</f>
        <v>0</v>
      </c>
      <c r="S8" s="30"/>
      <c r="V8" s="51" t="s">
        <v>332</v>
      </c>
      <c r="W8" s="8">
        <f>'10. Avfall'!C11*Päästökertoimet!F222</f>
        <v>0</v>
      </c>
    </row>
    <row r="9" spans="1:23" ht="15">
      <c r="A9" s="38" t="s">
        <v>147</v>
      </c>
      <c r="B9" s="141">
        <f>'2. Elektricitet'!$C$7*'2. Elektricitet'!C13*Päästökertoimet!F33</f>
        <v>0</v>
      </c>
      <c r="C9" s="149"/>
      <c r="D9" s="146" t="s">
        <v>123</v>
      </c>
      <c r="E9" s="54">
        <f>'3. Värme'!C15*Päästökertoimet!F59</f>
        <v>0</v>
      </c>
      <c r="J9" s="131" t="s">
        <v>195</v>
      </c>
      <c r="K9" s="8">
        <f>'6. Gödselmedel'!B15*Päästökertoimet!G117</f>
        <v>0</v>
      </c>
      <c r="M9" s="131" t="s">
        <v>13</v>
      </c>
      <c r="N9" s="31">
        <f>'7. Växtunderlag'!D10*Päästökertoimet!G182</f>
        <v>0</v>
      </c>
      <c r="P9" s="51" t="s">
        <v>353</v>
      </c>
      <c r="Q9" s="31">
        <f>'8. Förpackningar'!C13*Päästökertoimet!F191</f>
        <v>0</v>
      </c>
      <c r="S9" s="174" t="s">
        <v>324</v>
      </c>
      <c r="V9" s="51" t="s">
        <v>311</v>
      </c>
      <c r="W9" s="31">
        <f>'10. Avfall'!C12*Päästökertoimet!F223</f>
        <v>0</v>
      </c>
    </row>
    <row r="10" spans="1:23" ht="28.5">
      <c r="A10" s="38" t="s">
        <v>1</v>
      </c>
      <c r="B10" s="141">
        <f>'2. Elektricitet'!$C$7*'2. Elektricitet'!C14*Päästökertoimet!F34</f>
        <v>0</v>
      </c>
      <c r="C10" s="149"/>
      <c r="D10" s="146" t="s">
        <v>116</v>
      </c>
      <c r="E10" s="54">
        <f>'3. Värme'!C16*Päästökertoimet!F60</f>
        <v>0</v>
      </c>
      <c r="J10" s="131" t="s">
        <v>205</v>
      </c>
      <c r="K10" s="8">
        <f>'6. Gödselmedel'!B16*Päästökertoimet!G118</f>
        <v>0</v>
      </c>
      <c r="M10" s="131" t="s">
        <v>12</v>
      </c>
      <c r="N10" s="31">
        <f>'7. Växtunderlag'!D11*Päästökertoimet!G183</f>
        <v>0</v>
      </c>
      <c r="P10" s="51" t="s">
        <v>362</v>
      </c>
      <c r="Q10" s="31">
        <f>'8. Förpackningar'!C17*Päästökertoimet!F188/0.01</f>
        <v>0</v>
      </c>
      <c r="S10" s="129"/>
      <c r="T10" s="8" t="s">
        <v>162</v>
      </c>
      <c r="V10" s="51" t="s">
        <v>333</v>
      </c>
      <c r="W10" s="31">
        <f>'10. Avfall'!C13*Päästökertoimet!F224</f>
        <v>0</v>
      </c>
    </row>
    <row r="11" spans="1:23" ht="14.25">
      <c r="A11" s="38" t="s">
        <v>148</v>
      </c>
      <c r="B11" s="141">
        <f>'2. Elektricitet'!$C$7*'2. Elektricitet'!C15*Päästökertoimet!F35</f>
        <v>0</v>
      </c>
      <c r="C11" s="149"/>
      <c r="D11" s="146" t="s">
        <v>117</v>
      </c>
      <c r="E11" s="54">
        <f>'3. Värme'!C17*Päästökertoimet!F61</f>
        <v>0</v>
      </c>
      <c r="J11" s="125" t="s">
        <v>88</v>
      </c>
      <c r="K11" s="8">
        <f>'6. Gödselmedel'!B17*Päästökertoimet!G120</f>
        <v>0</v>
      </c>
      <c r="M11" s="131" t="s">
        <v>228</v>
      </c>
      <c r="N11" s="31">
        <f>'7. Växtunderlag'!D12*Päästökertoimet!G184</f>
        <v>0</v>
      </c>
      <c r="P11" s="51" t="s">
        <v>363</v>
      </c>
      <c r="Q11" s="31">
        <f>'8. Förpackningar'!C18*Päästökertoimet!F196</f>
        <v>0</v>
      </c>
      <c r="S11" s="129" t="s">
        <v>233</v>
      </c>
      <c r="T11" s="100">
        <f>'9. Transport'!B18*'9. Transport'!C18*(Päästökertoimet!$F$212+Päästökertoimet!$F$211)/(0.7*40000)</f>
        <v>0</v>
      </c>
      <c r="V11" s="51" t="s">
        <v>309</v>
      </c>
      <c r="W11" s="31">
        <f>'10. Avfall'!C14*Päästökertoimet!F225</f>
        <v>0</v>
      </c>
    </row>
    <row r="12" spans="1:23" ht="14.25">
      <c r="A12" s="38" t="s">
        <v>12</v>
      </c>
      <c r="B12" s="141">
        <f>'2. Elektricitet'!$C$7*'2. Elektricitet'!C16*Päästökertoimet!F36</f>
        <v>0</v>
      </c>
      <c r="C12" s="149"/>
      <c r="D12" s="146" t="s">
        <v>118</v>
      </c>
      <c r="E12" s="54">
        <f>'3. Värme'!C18*Päästökertoimet!F62</f>
        <v>0</v>
      </c>
      <c r="J12" s="125" t="s">
        <v>87</v>
      </c>
      <c r="K12" s="8">
        <f>'6. Gödselmedel'!B18*Päästökertoimet!G121</f>
        <v>0</v>
      </c>
      <c r="P12" s="51" t="s">
        <v>292</v>
      </c>
      <c r="Q12" s="31">
        <f>'8. Förpackningar'!C19*Päästökertoimet!F197</f>
        <v>0</v>
      </c>
      <c r="S12" s="125" t="s">
        <v>218</v>
      </c>
      <c r="T12" s="100">
        <f>'9. Transport'!B19*'9. Transport'!C19*(Päästökertoimet!$F$212+Päästökertoimet!$F$211)/(104.5*46.4)</f>
        <v>0</v>
      </c>
      <c r="V12" s="51" t="s">
        <v>339</v>
      </c>
      <c r="W12" s="31">
        <f>'10. Avfall'!C15*Päästökertoimet!F226</f>
        <v>0</v>
      </c>
    </row>
    <row r="13" spans="1:23" ht="14.25">
      <c r="A13" s="38" t="s">
        <v>134</v>
      </c>
      <c r="B13" s="141">
        <f>'2. Elektricitet'!$C$7*'2. Elektricitet'!C17*Päästökertoimet!F37</f>
        <v>0</v>
      </c>
      <c r="C13" s="149"/>
      <c r="D13" s="146" t="s">
        <v>119</v>
      </c>
      <c r="E13" s="54">
        <f>'3. Värme'!C19*Päästökertoimet!F63</f>
        <v>0</v>
      </c>
      <c r="J13" s="1" t="s">
        <v>387</v>
      </c>
      <c r="K13" s="8">
        <f>'6. Gödselmedel'!B19*Päästökertoimet!G122</f>
        <v>0</v>
      </c>
      <c r="P13" s="51" t="s">
        <v>364</v>
      </c>
      <c r="Q13" s="31">
        <f>'8. Förpackningar'!C20*Päästökertoimet!F189/0.179</f>
        <v>0</v>
      </c>
      <c r="S13" s="130" t="s">
        <v>219</v>
      </c>
      <c r="T13" s="100">
        <f>'9. Transport'!B20*'9. Transport'!C20*(Päästökertoimet!$F$212+Päästökertoimet!$F$211)/(104.5*56)</f>
        <v>0</v>
      </c>
      <c r="V13" s="51" t="s">
        <v>338</v>
      </c>
      <c r="W13" s="31">
        <f>'10. Avfall'!C16*Päästökertoimet!F227</f>
        <v>0</v>
      </c>
    </row>
    <row r="14" spans="1:23" ht="14.25">
      <c r="A14" s="38" t="s">
        <v>2</v>
      </c>
      <c r="B14" s="141">
        <f>'2. Elektricitet'!$C$7*'2. Elektricitet'!C18*Päästökertoimet!F39</f>
        <v>0</v>
      </c>
      <c r="C14" s="149"/>
      <c r="D14" s="146" t="s">
        <v>124</v>
      </c>
      <c r="E14" s="54">
        <f>'3. Värme'!C20*Päästökertoimet!F64</f>
        <v>0</v>
      </c>
      <c r="J14" s="131" t="s">
        <v>211</v>
      </c>
      <c r="K14" s="8">
        <f>'6. Gödselmedel'!B20*Päästökertoimet!G123</f>
        <v>0</v>
      </c>
      <c r="P14" s="51" t="s">
        <v>293</v>
      </c>
      <c r="Q14" s="31">
        <f>'8. Förpackningar'!C21*Päästökertoimet!F191</f>
        <v>0</v>
      </c>
      <c r="S14" s="130" t="s">
        <v>231</v>
      </c>
      <c r="T14" s="100">
        <f>'9. Transport'!B21*'9. Transport'!C21*(Päästökertoimet!$F$212+Päästökertoimet!$F$211)/(0.7*40000)</f>
        <v>0</v>
      </c>
      <c r="V14" s="51" t="s">
        <v>338</v>
      </c>
      <c r="W14" s="31">
        <f>'10. Avfall'!C17*Päästökertoimet!F228</f>
        <v>0</v>
      </c>
    </row>
    <row r="15" spans="1:20" ht="14.25">
      <c r="A15" s="38" t="s">
        <v>180</v>
      </c>
      <c r="B15" s="141">
        <f>'2. Elektricitet'!$C$7*'2. Elektricitet'!C19*Päästökertoimet!F40</f>
        <v>0</v>
      </c>
      <c r="C15" s="149"/>
      <c r="D15" s="146" t="s">
        <v>125</v>
      </c>
      <c r="E15" s="54">
        <f>'3. Värme'!C21*Päästökertoimet!F65</f>
        <v>0</v>
      </c>
      <c r="J15" s="131" t="s">
        <v>212</v>
      </c>
      <c r="K15" s="8">
        <f>'6. Gödselmedel'!B21*Päästökertoimet!G124</f>
        <v>0</v>
      </c>
      <c r="P15" s="51" t="s">
        <v>244</v>
      </c>
      <c r="Q15" s="31">
        <f>'8. Förpackningar'!C22*Päästökertoimet!F192</f>
        <v>0</v>
      </c>
      <c r="S15" s="131" t="s">
        <v>13</v>
      </c>
      <c r="T15" s="100">
        <f>'9. Transport'!B22*'9. Transport'!C22*(Päästökertoimet!$F$212+Päästökertoimet!$F$211)/(0.7*40000)</f>
        <v>0</v>
      </c>
    </row>
    <row r="16" spans="1:20" ht="14.25">
      <c r="A16" s="38" t="s">
        <v>181</v>
      </c>
      <c r="B16" s="141">
        <f>'2. Elektricitet'!$C$7*'2. Elektricitet'!C20*Päästökertoimet!F41</f>
        <v>0</v>
      </c>
      <c r="C16" s="149"/>
      <c r="D16" s="146" t="s">
        <v>135</v>
      </c>
      <c r="E16" s="54">
        <f>'3. Värme'!C22*Päästökertoimet!F66</f>
        <v>0</v>
      </c>
      <c r="J16" s="125" t="s">
        <v>188</v>
      </c>
      <c r="K16" s="8">
        <f>'6. Gödselmedel'!B23*Päästökertoimet!G125</f>
        <v>0</v>
      </c>
      <c r="P16" s="51" t="s">
        <v>245</v>
      </c>
      <c r="Q16" s="31">
        <f>'8. Förpackningar'!C23*Päästökertoimet!F193</f>
        <v>0</v>
      </c>
      <c r="S16" s="131" t="s">
        <v>12</v>
      </c>
      <c r="T16" s="100">
        <f>'9. Transport'!B23*'9. Transport'!C23*(Päästökertoimet!$F$212+Päästökertoimet!$F$211)/(0.7*40000)</f>
        <v>0</v>
      </c>
    </row>
    <row r="17" spans="1:20" ht="14.25">
      <c r="A17" s="38" t="s">
        <v>182</v>
      </c>
      <c r="B17" s="141">
        <f>'2. Elektricitet'!$C$7*'2. Elektricitet'!C21*Päästökertoimet!F42</f>
        <v>0</v>
      </c>
      <c r="C17" s="149"/>
      <c r="D17" s="146" t="s">
        <v>138</v>
      </c>
      <c r="E17" s="54">
        <f>'3. Värme'!C23*Päästökertoimet!F67</f>
        <v>0</v>
      </c>
      <c r="J17" s="125" t="s">
        <v>207</v>
      </c>
      <c r="K17" s="8">
        <f>'6. Gödselmedel'!B24*Päästökertoimet!G126</f>
        <v>0</v>
      </c>
      <c r="P17" s="51" t="s">
        <v>291</v>
      </c>
      <c r="Q17" s="31">
        <f>'8. Förpackningar'!C24*Päästökertoimet!F198</f>
        <v>0</v>
      </c>
      <c r="S17" s="131" t="s">
        <v>228</v>
      </c>
      <c r="T17" s="100">
        <f>'9. Transport'!B24*'9. Transport'!C24*(Päästökertoimet!$F$212+Päästökertoimet!$F$211)/(0.7*40000)</f>
        <v>0</v>
      </c>
    </row>
    <row r="18" spans="1:20" ht="14.25">
      <c r="A18" s="38" t="s">
        <v>149</v>
      </c>
      <c r="B18" s="141">
        <f>'2. Elektricitet'!$C$7*'2. Elektricitet'!C22*Päästökertoimet!F43</f>
        <v>0</v>
      </c>
      <c r="C18" s="149"/>
      <c r="D18" s="146" t="s">
        <v>126</v>
      </c>
      <c r="E18" s="54">
        <f>'3. Värme'!C24*Päästökertoimet!F68</f>
        <v>0</v>
      </c>
      <c r="J18" s="131" t="s">
        <v>208</v>
      </c>
      <c r="K18" s="8">
        <f>'6. Gödselmedel'!B25*Päästökertoimet!G127</f>
        <v>0</v>
      </c>
      <c r="P18" s="51" t="s">
        <v>290</v>
      </c>
      <c r="Q18" s="31">
        <f>'8. Förpackningar'!C25*Päästökertoimet!F199</f>
        <v>0</v>
      </c>
      <c r="S18" s="175"/>
      <c r="T18" s="105"/>
    </row>
    <row r="19" spans="1:19" ht="15">
      <c r="A19" s="38" t="s">
        <v>136</v>
      </c>
      <c r="B19" s="141">
        <f>'2. Elektricitet'!$C$7*'2. Elektricitet'!C23*Päästökertoimet!F44</f>
        <v>0</v>
      </c>
      <c r="C19" s="149"/>
      <c r="D19" s="146" t="s">
        <v>127</v>
      </c>
      <c r="E19" s="54">
        <f>'3. Värme'!C25*Päästökertoimet!F69</f>
        <v>0</v>
      </c>
      <c r="J19" s="1" t="s">
        <v>389</v>
      </c>
      <c r="K19" s="8">
        <f>'6. Gödselmedel'!B26*Päästökertoimet!G128</f>
        <v>0</v>
      </c>
      <c r="S19" s="174" t="s">
        <v>327</v>
      </c>
    </row>
    <row r="20" spans="1:20" ht="29.25">
      <c r="A20" s="139" t="s">
        <v>174</v>
      </c>
      <c r="B20" s="135"/>
      <c r="C20" s="151"/>
      <c r="D20" s="146" t="s">
        <v>128</v>
      </c>
      <c r="E20" s="54">
        <f>'3. Värme'!C26*Päästökertoimet!F70</f>
        <v>0</v>
      </c>
      <c r="J20" s="131" t="s">
        <v>199</v>
      </c>
      <c r="K20" s="8">
        <f>'6. Gödselmedel'!B27*Päästökertoimet!G129</f>
        <v>0</v>
      </c>
      <c r="S20" s="129"/>
      <c r="T20" s="8" t="s">
        <v>162</v>
      </c>
    </row>
    <row r="21" spans="1:20" ht="28.5">
      <c r="A21" s="115" t="s">
        <v>5</v>
      </c>
      <c r="B21" s="143" t="s">
        <v>162</v>
      </c>
      <c r="C21" s="152"/>
      <c r="D21" s="146" t="s">
        <v>129</v>
      </c>
      <c r="E21" s="54">
        <f>'3. Värme'!C27*Päästökertoimet!F71</f>
        <v>0</v>
      </c>
      <c r="J21" s="131" t="s">
        <v>200</v>
      </c>
      <c r="K21" s="8">
        <f>'6. Gödselmedel'!B28*Päästökertoimet!G130</f>
        <v>0</v>
      </c>
      <c r="S21" s="51" t="s">
        <v>319</v>
      </c>
      <c r="T21" s="31">
        <f>'9. Transport'!B28*'9. Transport'!C28*(Päästökertoimet!$F$212+Päästökertoimet!$F$211)/(0.7*40000)</f>
        <v>0</v>
      </c>
    </row>
    <row r="22" spans="1:20" ht="14.25">
      <c r="A22" s="38" t="s">
        <v>130</v>
      </c>
      <c r="B22" s="140">
        <f>'2. Elektricitet'!C32*Päästökertoimet!F7</f>
        <v>0</v>
      </c>
      <c r="C22" s="153"/>
      <c r="D22" s="146" t="s">
        <v>150</v>
      </c>
      <c r="E22" s="54">
        <f>'3. Värme'!C28*Päästökertoimet!F72</f>
        <v>0</v>
      </c>
      <c r="J22" s="125" t="s">
        <v>191</v>
      </c>
      <c r="K22" s="8">
        <f>'6. Gödselmedel'!B29*Päästökertoimet!G131</f>
        <v>0</v>
      </c>
      <c r="S22" s="51" t="s">
        <v>320</v>
      </c>
      <c r="T22" s="31">
        <f>'9. Transport'!B29*'9. Transport'!C29*(Päästökertoimet!$F$212+Päästökertoimet!$F$211)/(0.7*40000)</f>
        <v>0</v>
      </c>
    </row>
    <row r="23" spans="1:19" ht="14.25">
      <c r="A23" s="38" t="s">
        <v>131</v>
      </c>
      <c r="B23" s="140">
        <f>'2. Elektricitet'!C33*Päästökertoimet!F8</f>
        <v>0</v>
      </c>
      <c r="C23" s="153"/>
      <c r="D23" s="146" t="s">
        <v>151</v>
      </c>
      <c r="E23" s="54">
        <f>'3. Värme'!C29*Päästökertoimet!F73</f>
        <v>0</v>
      </c>
      <c r="J23" s="131" t="s">
        <v>213</v>
      </c>
      <c r="K23" s="8">
        <f>'6. Gödselmedel'!B30*Päästökertoimet!G132</f>
        <v>0</v>
      </c>
      <c r="S23" s="12"/>
    </row>
    <row r="24" spans="1:19" ht="15">
      <c r="A24" s="38" t="s">
        <v>120</v>
      </c>
      <c r="B24" s="140">
        <f>'2. Elektricitet'!C34*Päästökertoimet!F9</f>
        <v>0</v>
      </c>
      <c r="C24" s="153"/>
      <c r="D24" s="156" t="s">
        <v>137</v>
      </c>
      <c r="E24" s="3"/>
      <c r="J24" s="125" t="s">
        <v>187</v>
      </c>
      <c r="K24" s="8">
        <f>'6. Gödselmedel'!B31*Päästökertoimet!G133</f>
        <v>0</v>
      </c>
      <c r="S24" s="174" t="s">
        <v>326</v>
      </c>
    </row>
    <row r="25" spans="1:20" ht="28.5">
      <c r="A25" s="38" t="s">
        <v>121</v>
      </c>
      <c r="B25" s="140">
        <f>'2. Elektricitet'!C35*Päästökertoimet!F10</f>
        <v>0</v>
      </c>
      <c r="C25" s="153"/>
      <c r="D25" s="146" t="s">
        <v>141</v>
      </c>
      <c r="E25" s="3">
        <f>'3. Värme'!C34*'3. Värme'!C35</f>
        <v>0</v>
      </c>
      <c r="J25" s="125" t="s">
        <v>86</v>
      </c>
      <c r="K25" s="8">
        <f>'6. Gödselmedel'!B32*Päästökertoimet!G134</f>
        <v>0</v>
      </c>
      <c r="S25" s="129" t="s">
        <v>10</v>
      </c>
      <c r="T25" s="102" t="s">
        <v>162</v>
      </c>
    </row>
    <row r="26" spans="1:20" ht="42.75">
      <c r="A26" s="38" t="s">
        <v>116</v>
      </c>
      <c r="B26" s="140">
        <f>'2. Elektricitet'!C36*Päästökertoimet!F11</f>
        <v>0</v>
      </c>
      <c r="C26" s="153"/>
      <c r="D26" s="67" t="s">
        <v>143</v>
      </c>
      <c r="E26" s="59" t="s">
        <v>173</v>
      </c>
      <c r="J26" s="131" t="s">
        <v>197</v>
      </c>
      <c r="K26" s="8">
        <f>'6. Gödselmedel'!B33*Päästökertoimet!G135</f>
        <v>0</v>
      </c>
      <c r="S26" s="51" t="s">
        <v>246</v>
      </c>
      <c r="T26" s="100">
        <f>'9. Transport'!B33*Päästökertoimet!$C$203</f>
        <v>0</v>
      </c>
    </row>
    <row r="27" spans="1:20" ht="14.25">
      <c r="A27" s="38" t="s">
        <v>117</v>
      </c>
      <c r="B27" s="140">
        <f>'2. Elektricitet'!C37*Päästökertoimet!F12</f>
        <v>0</v>
      </c>
      <c r="C27" s="153"/>
      <c r="D27" s="146" t="s">
        <v>144</v>
      </c>
      <c r="E27" s="3">
        <f>'3. Värme'!$C$34*'3. Värme'!C37*Päästökertoimet!F77</f>
        <v>0</v>
      </c>
      <c r="J27" s="131" t="s">
        <v>198</v>
      </c>
      <c r="K27" s="8">
        <f>'6. Gödselmedel'!B34*Päästökertoimet!G136</f>
        <v>0</v>
      </c>
      <c r="S27" s="51" t="s">
        <v>249</v>
      </c>
      <c r="T27" s="100">
        <f>'9. Transport'!B34*Päästökertoimet!$C$204</f>
        <v>0</v>
      </c>
    </row>
    <row r="28" spans="1:20" ht="14.25">
      <c r="A28" s="38" t="s">
        <v>118</v>
      </c>
      <c r="B28" s="140">
        <f>'2. Elektricitet'!C38*Päästökertoimet!F13</f>
        <v>0</v>
      </c>
      <c r="C28" s="153"/>
      <c r="D28" s="146" t="s">
        <v>145</v>
      </c>
      <c r="E28" s="3">
        <f>'3. Värme'!$C$34*'3. Värme'!C38*Päästökertoimet!F78</f>
        <v>0</v>
      </c>
      <c r="J28" s="131" t="s">
        <v>204</v>
      </c>
      <c r="K28" s="8">
        <f>'6. Gödselmedel'!B35*Päästökertoimet!G137</f>
        <v>0</v>
      </c>
      <c r="S28" s="51" t="s">
        <v>251</v>
      </c>
      <c r="T28" s="100">
        <f>'9. Transport'!B35*Päästökertoimet!$C$205</f>
        <v>0</v>
      </c>
    </row>
    <row r="29" spans="1:20" ht="14.25">
      <c r="A29" s="38" t="s">
        <v>119</v>
      </c>
      <c r="B29" s="140">
        <f>'2. Elektricitet'!C39*Päästökertoimet!F14</f>
        <v>0</v>
      </c>
      <c r="C29" s="153"/>
      <c r="D29" s="146" t="s">
        <v>147</v>
      </c>
      <c r="E29" s="3">
        <f>'3. Värme'!$C$34*'3. Värme'!C39*Päästökertoimet!F79</f>
        <v>0</v>
      </c>
      <c r="J29" s="131" t="s">
        <v>202</v>
      </c>
      <c r="K29" s="8">
        <f>'6. Gödselmedel'!B36*Päästökertoimet!G138</f>
        <v>0</v>
      </c>
      <c r="S29" s="51" t="s">
        <v>252</v>
      </c>
      <c r="T29" s="100">
        <f>'9. Transport'!B36*Päästökertoimet!$C$206</f>
        <v>0</v>
      </c>
    </row>
    <row r="30" spans="1:20" ht="14.25">
      <c r="A30" s="38" t="s">
        <v>124</v>
      </c>
      <c r="B30" s="140">
        <f>'2. Elektricitet'!C40*Päästökertoimet!F15</f>
        <v>0</v>
      </c>
      <c r="C30" s="153"/>
      <c r="D30" s="146" t="s">
        <v>1</v>
      </c>
      <c r="E30" s="3">
        <f>'3. Värme'!$C$34*'3. Värme'!C40*Päästökertoimet!F80</f>
        <v>0</v>
      </c>
      <c r="J30" s="131" t="s">
        <v>203</v>
      </c>
      <c r="K30" s="8">
        <f>'6. Gödselmedel'!B37*Päästökertoimet!G139</f>
        <v>0</v>
      </c>
      <c r="S30" s="51" t="s">
        <v>253</v>
      </c>
      <c r="T30" s="100">
        <f>'9. Transport'!B37*Päästökertoimet!$C$207</f>
        <v>0</v>
      </c>
    </row>
    <row r="31" spans="1:20" ht="14.25">
      <c r="A31" s="38" t="s">
        <v>125</v>
      </c>
      <c r="B31" s="140">
        <f>'2. Elektricitet'!C41*Päästökertoimet!F16</f>
        <v>0</v>
      </c>
      <c r="C31" s="153"/>
      <c r="D31" s="146" t="s">
        <v>148</v>
      </c>
      <c r="E31" s="3">
        <f>'3. Värme'!$C$34*'3. Värme'!C41*Päästökertoimet!F81</f>
        <v>0</v>
      </c>
      <c r="J31" s="131" t="s">
        <v>297</v>
      </c>
      <c r="K31" s="8">
        <f>'6. Gödselmedel'!B38*Päästökertoimet!G140</f>
        <v>0</v>
      </c>
      <c r="S31" s="51" t="s">
        <v>254</v>
      </c>
      <c r="T31" s="100">
        <f>'9. Transport'!B38*Päästökertoimet!$C$208</f>
        <v>0</v>
      </c>
    </row>
    <row r="32" spans="1:20" ht="14.25">
      <c r="A32" s="38" t="s">
        <v>135</v>
      </c>
      <c r="B32" s="140">
        <f>'2. Elektricitet'!C42*Päästökertoimet!F17</f>
        <v>0</v>
      </c>
      <c r="C32" s="153"/>
      <c r="D32" s="146" t="s">
        <v>12</v>
      </c>
      <c r="E32" s="3">
        <f>'3. Värme'!$C$34*'3. Värme'!C42*Päästökertoimet!F82</f>
        <v>0</v>
      </c>
      <c r="J32" s="125" t="s">
        <v>193</v>
      </c>
      <c r="K32" s="8">
        <f>'6. Gödselmedel'!B39*Päästökertoimet!G141</f>
        <v>0</v>
      </c>
      <c r="S32" s="51" t="s">
        <v>255</v>
      </c>
      <c r="T32" s="100">
        <f>'9. Transport'!B39*Päästökertoimet!$C$209</f>
        <v>0</v>
      </c>
    </row>
    <row r="33" spans="1:20" ht="14.25">
      <c r="A33" s="38" t="s">
        <v>138</v>
      </c>
      <c r="B33" s="140">
        <f>'2. Elektricitet'!C43*Päästökertoimet!F18</f>
        <v>0</v>
      </c>
      <c r="C33" s="153"/>
      <c r="D33" s="146" t="s">
        <v>134</v>
      </c>
      <c r="E33" s="3">
        <f>'3. Värme'!$C$34*'3. Värme'!C43*Päästökertoimet!F83</f>
        <v>0</v>
      </c>
      <c r="J33" s="1" t="s">
        <v>390</v>
      </c>
      <c r="K33" s="8">
        <f>'6. Gödselmedel'!B40*Päästökertoimet!G142</f>
        <v>0</v>
      </c>
      <c r="S33" s="51" t="s">
        <v>256</v>
      </c>
      <c r="T33" s="100">
        <f>'9. Transport'!B40*Päästökertoimet!$C$210</f>
        <v>0</v>
      </c>
    </row>
    <row r="34" spans="1:20" ht="14.25">
      <c r="A34" s="38" t="s">
        <v>126</v>
      </c>
      <c r="B34" s="140">
        <f>'2. Elektricitet'!C44*Päästökertoimet!F19</f>
        <v>0</v>
      </c>
      <c r="C34" s="153"/>
      <c r="D34" s="146" t="s">
        <v>2</v>
      </c>
      <c r="E34" s="3">
        <f>'3. Värme'!$C$34*'3. Värme'!C44*Päästökertoimet!F84</f>
        <v>0</v>
      </c>
      <c r="J34" s="131" t="s">
        <v>209</v>
      </c>
      <c r="K34" s="8">
        <f>'6. Gödselmedel'!B41*Päästökertoimet!G143</f>
        <v>0</v>
      </c>
      <c r="S34" s="51" t="s">
        <v>257</v>
      </c>
      <c r="T34" s="100">
        <f>'9. Transport'!B41*Päästökertoimet!$C$211</f>
        <v>0</v>
      </c>
    </row>
    <row r="35" spans="1:20" ht="14.25">
      <c r="A35" s="38" t="s">
        <v>127</v>
      </c>
      <c r="B35" s="140">
        <f>'2. Elektricitet'!C45*Päästökertoimet!F20</f>
        <v>0</v>
      </c>
      <c r="C35" s="153"/>
      <c r="D35" s="146" t="s">
        <v>149</v>
      </c>
      <c r="E35" s="3">
        <f>'3. Värme'!$C$34*'3. Värme'!C45*Päästökertoimet!F85</f>
        <v>0</v>
      </c>
      <c r="J35" s="131" t="s">
        <v>210</v>
      </c>
      <c r="K35" s="8">
        <f>'6. Gödselmedel'!B42*Päästökertoimet!G144</f>
        <v>0</v>
      </c>
      <c r="S35" s="51" t="s">
        <v>258</v>
      </c>
      <c r="T35" s="100">
        <f>'9. Transport'!B42*Päästökertoimet!$C$212</f>
        <v>0</v>
      </c>
    </row>
    <row r="36" spans="1:20" ht="15" customHeight="1">
      <c r="A36" s="38" t="s">
        <v>183</v>
      </c>
      <c r="B36" s="140">
        <f>'2. Elektricitet'!C46*Päästökertoimet!F21</f>
        <v>0</v>
      </c>
      <c r="C36" s="153"/>
      <c r="D36" s="146" t="s">
        <v>136</v>
      </c>
      <c r="E36" s="3">
        <f>'3. Värme'!$C$34*'3. Värme'!C46*Päästökertoimet!F86</f>
        <v>0</v>
      </c>
      <c r="J36" s="125" t="s">
        <v>65</v>
      </c>
      <c r="K36" s="8">
        <f>'6. Gödselmedel'!B43*Päästökertoimet!G157</f>
        <v>0</v>
      </c>
      <c r="S36" s="51" t="s">
        <v>260</v>
      </c>
      <c r="T36" s="100">
        <f>'9. Transport'!B43*Päästökertoimet!$C$213</f>
        <v>0</v>
      </c>
    </row>
    <row r="37" spans="1:20" ht="15">
      <c r="A37" s="38" t="s">
        <v>184</v>
      </c>
      <c r="B37" s="140">
        <f>'2. Elektricitet'!C47*Päästökertoimet!F22</f>
        <v>0</v>
      </c>
      <c r="C37" s="153"/>
      <c r="D37" s="155" t="s">
        <v>176</v>
      </c>
      <c r="E37" s="3"/>
      <c r="J37" s="125" t="s">
        <v>189</v>
      </c>
      <c r="K37" s="8">
        <f>'6. Gödselmedel'!B44*Päästökertoimet!G146</f>
        <v>0</v>
      </c>
      <c r="S37" s="51" t="s">
        <v>261</v>
      </c>
      <c r="T37" s="100">
        <f>'9. Transport'!B44*Päästökertoimet!$C$214</f>
        <v>0</v>
      </c>
    </row>
    <row r="38" spans="1:19" ht="14.25">
      <c r="A38" s="38" t="s">
        <v>180</v>
      </c>
      <c r="B38" s="140">
        <f>'2. Elektricitet'!C48*Päästökertoimet!F23</f>
        <v>0</v>
      </c>
      <c r="C38" s="153"/>
      <c r="D38" s="38" t="s">
        <v>140</v>
      </c>
      <c r="E38" s="3">
        <f>'3. Värme'!C50*Päästökertoimet!F90</f>
        <v>0</v>
      </c>
      <c r="J38" s="125" t="s">
        <v>89</v>
      </c>
      <c r="K38" s="8">
        <f>'6. Gödselmedel'!B45*Päästökertoimet!G166</f>
        <v>0</v>
      </c>
      <c r="S38" s="176"/>
    </row>
    <row r="39" spans="1:20" ht="28.5">
      <c r="A39" s="38" t="s">
        <v>181</v>
      </c>
      <c r="B39" s="140">
        <f>'2. Elektricitet'!C49*Päästökertoimet!F24</f>
        <v>0</v>
      </c>
      <c r="C39" s="153"/>
      <c r="J39" s="125" t="s">
        <v>50</v>
      </c>
      <c r="K39" s="8">
        <f>'6. Gödselmedel'!B46*Päästökertoimet!G167</f>
        <v>0</v>
      </c>
      <c r="S39" s="39" t="s">
        <v>6</v>
      </c>
      <c r="T39" s="102" t="s">
        <v>162</v>
      </c>
    </row>
    <row r="40" spans="1:20" ht="14.25">
      <c r="A40" s="38" t="s">
        <v>182</v>
      </c>
      <c r="B40" s="140">
        <f>'2. Elektricitet'!C50*Päästökertoimet!F25</f>
        <v>0</v>
      </c>
      <c r="C40" s="153"/>
      <c r="D40" s="1" t="s">
        <v>160</v>
      </c>
      <c r="J40" s="131" t="s">
        <v>201</v>
      </c>
      <c r="K40" s="8">
        <f>'6. Gödselmedel'!B47*Päästökertoimet!G149</f>
        <v>0</v>
      </c>
      <c r="S40" s="51" t="s">
        <v>366</v>
      </c>
      <c r="T40" s="100">
        <f>'9. Transport'!F33*2.2</f>
        <v>0</v>
      </c>
    </row>
    <row r="41" spans="1:20" ht="14.25">
      <c r="A41" s="38" t="s">
        <v>150</v>
      </c>
      <c r="B41" s="140">
        <f>'2. Elektricitet'!C51*Päästökertoimet!F26</f>
        <v>0</v>
      </c>
      <c r="C41" s="153"/>
      <c r="D41" s="3" t="s">
        <v>161</v>
      </c>
      <c r="J41" s="1" t="s">
        <v>393</v>
      </c>
      <c r="K41" s="188">
        <f>'6. Gödselmedel'!B48*Päästökertoimet!G169</f>
        <v>0</v>
      </c>
      <c r="S41" s="51" t="s">
        <v>367</v>
      </c>
      <c r="T41" s="100">
        <f>'9. Transport'!F34*2.5</f>
        <v>0</v>
      </c>
    </row>
    <row r="42" spans="1:19" ht="14.25">
      <c r="A42" s="38" t="s">
        <v>151</v>
      </c>
      <c r="B42" s="140">
        <f>'2. Elektricitet'!C52*Päästökertoimet!F27</f>
        <v>0</v>
      </c>
      <c r="C42" s="153"/>
      <c r="J42" s="125" t="s">
        <v>392</v>
      </c>
      <c r="K42" s="8">
        <f>'6. Gödselmedel'!B49*Päästökertoimet!G170</f>
        <v>0</v>
      </c>
      <c r="S42" s="176"/>
    </row>
    <row r="43" spans="1:19" ht="15">
      <c r="A43" s="139" t="s">
        <v>178</v>
      </c>
      <c r="B43" s="135"/>
      <c r="C43" s="151"/>
      <c r="J43" s="125" t="s">
        <v>190</v>
      </c>
      <c r="K43" s="8">
        <f>'6. Gödselmedel'!B50*Päästökertoimet!G171</f>
        <v>0</v>
      </c>
      <c r="S43" s="174" t="s">
        <v>368</v>
      </c>
    </row>
    <row r="44" spans="1:20" ht="28.5">
      <c r="A44" s="38" t="s">
        <v>175</v>
      </c>
      <c r="B44" s="144">
        <f>'2. Elektricitet'!C56*Päästökertoimet!F48</f>
        <v>0</v>
      </c>
      <c r="C44" s="154"/>
      <c r="J44" s="125" t="s">
        <v>192</v>
      </c>
      <c r="K44" s="8">
        <f>'6. Gödselmedel'!B51*Päästökertoimet!G172</f>
        <v>0</v>
      </c>
      <c r="S44" s="129" t="s">
        <v>10</v>
      </c>
      <c r="T44" s="102" t="s">
        <v>162</v>
      </c>
    </row>
    <row r="45" spans="19:20" ht="14.25">
      <c r="S45" s="51" t="s">
        <v>246</v>
      </c>
      <c r="T45" s="100">
        <f>'9. Transport'!B51*Päästökertoimet!$C$203</f>
        <v>0</v>
      </c>
    </row>
    <row r="46" spans="19:20" ht="14.25">
      <c r="S46" s="51" t="s">
        <v>249</v>
      </c>
      <c r="T46" s="100">
        <f>'9. Transport'!B52*Päästökertoimet!$C$204</f>
        <v>0</v>
      </c>
    </row>
    <row r="47" spans="19:20" ht="14.25">
      <c r="S47" s="51" t="s">
        <v>251</v>
      </c>
      <c r="T47" s="100">
        <f>'9. Transport'!B53*Päästökertoimet!$C$205</f>
        <v>0</v>
      </c>
    </row>
    <row r="48" spans="19:20" ht="14.25">
      <c r="S48" s="51" t="s">
        <v>252</v>
      </c>
      <c r="T48" s="100">
        <f>'9. Transport'!B54*Päästökertoimet!$C$206</f>
        <v>0</v>
      </c>
    </row>
    <row r="49" spans="19:20" ht="14.25">
      <c r="S49" s="51" t="s">
        <v>253</v>
      </c>
      <c r="T49" s="100">
        <f>'9. Transport'!B55*Päästökertoimet!$C$207</f>
        <v>0</v>
      </c>
    </row>
    <row r="50" spans="19:20" ht="14.25">
      <c r="S50" s="51" t="s">
        <v>254</v>
      </c>
      <c r="T50" s="100">
        <f>'9. Transport'!B56*Päästökertoimet!$C$208</f>
        <v>0</v>
      </c>
    </row>
    <row r="51" spans="19:20" ht="14.25">
      <c r="S51" s="51" t="s">
        <v>255</v>
      </c>
      <c r="T51" s="100">
        <f>'9. Transport'!B57*Päästökertoimet!$C$209</f>
        <v>0</v>
      </c>
    </row>
    <row r="52" spans="19:20" ht="14.25">
      <c r="S52" s="51" t="s">
        <v>256</v>
      </c>
      <c r="T52" s="100">
        <f>'9. Transport'!B58*Päästökertoimet!$C$210</f>
        <v>0</v>
      </c>
    </row>
    <row r="53" spans="19:20" ht="14.25">
      <c r="S53" s="51" t="s">
        <v>257</v>
      </c>
      <c r="T53" s="100">
        <f>'9. Transport'!B59*Päästökertoimet!$C$211</f>
        <v>0</v>
      </c>
    </row>
    <row r="54" spans="19:20" ht="14.25">
      <c r="S54" s="51" t="s">
        <v>258</v>
      </c>
      <c r="T54" s="100">
        <f>'9. Transport'!B60*Päästökertoimet!$C$212</f>
        <v>0</v>
      </c>
    </row>
    <row r="55" spans="19:20" ht="14.25">
      <c r="S55" s="51" t="s">
        <v>260</v>
      </c>
      <c r="T55" s="100">
        <f>'9. Transport'!B61*Päästökertoimet!$C$213</f>
        <v>0</v>
      </c>
    </row>
    <row r="56" spans="19:20" ht="14.25">
      <c r="S56" s="51" t="s">
        <v>261</v>
      </c>
      <c r="T56" s="100">
        <f>'9. Transport'!B62*Päästökertoimet!$C$214</f>
        <v>0</v>
      </c>
    </row>
    <row r="58" spans="19:20" ht="28.5">
      <c r="S58" s="129" t="s">
        <v>6</v>
      </c>
      <c r="T58" s="102" t="s">
        <v>162</v>
      </c>
    </row>
    <row r="59" spans="19:20" ht="14.25">
      <c r="S59" s="51" t="s">
        <v>366</v>
      </c>
      <c r="T59" s="100">
        <f>'9. Transport'!F51*2.2</f>
        <v>0</v>
      </c>
    </row>
    <row r="60" spans="19:20" ht="14.25">
      <c r="S60" s="51" t="s">
        <v>367</v>
      </c>
      <c r="T60" s="100">
        <f>'9. Transport'!F52*2.5</f>
        <v>0</v>
      </c>
    </row>
  </sheetData>
  <sheetProtection/>
  <mergeCells count="8">
    <mergeCell ref="P1:Q1"/>
    <mergeCell ref="S1:T1"/>
    <mergeCell ref="V1:W1"/>
    <mergeCell ref="A1:B1"/>
    <mergeCell ref="D1:E1"/>
    <mergeCell ref="G1:H1"/>
    <mergeCell ref="J1:K1"/>
    <mergeCell ref="M1:N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J4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30.7109375" style="1" customWidth="1"/>
    <col min="2" max="16384" width="9.140625" style="1" customWidth="1"/>
  </cols>
  <sheetData>
    <row r="1" spans="1:6" ht="14.25" customHeight="1">
      <c r="A1" s="191" t="s">
        <v>408</v>
      </c>
      <c r="B1" s="5"/>
      <c r="C1" s="5"/>
      <c r="D1" s="5"/>
      <c r="E1" s="5"/>
      <c r="F1" s="5"/>
    </row>
    <row r="2" spans="1:10" ht="14.25" customHeight="1">
      <c r="A2" s="192" t="s">
        <v>409</v>
      </c>
      <c r="B2" s="114"/>
      <c r="C2" s="114"/>
      <c r="D2" s="114"/>
      <c r="E2" s="114"/>
      <c r="F2" s="114"/>
      <c r="G2" s="34"/>
      <c r="H2" s="34"/>
      <c r="I2" s="34"/>
      <c r="J2" s="34"/>
    </row>
    <row r="3" spans="1:6" ht="14.25" customHeight="1">
      <c r="A3" s="193" t="s">
        <v>410</v>
      </c>
      <c r="B3" s="159">
        <v>1</v>
      </c>
      <c r="C3" s="190" t="s">
        <v>412</v>
      </c>
      <c r="D3" s="7"/>
      <c r="E3" s="5"/>
      <c r="F3" s="5"/>
    </row>
    <row r="4" spans="1:6" ht="14.25" customHeight="1">
      <c r="A4" s="193" t="s">
        <v>411</v>
      </c>
      <c r="B4" s="159">
        <v>1</v>
      </c>
      <c r="C4" s="194" t="s">
        <v>413</v>
      </c>
      <c r="D4" s="6"/>
      <c r="E4" s="5"/>
      <c r="F4" s="5"/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59"/>
  <sheetViews>
    <sheetView showGridLines="0" zoomScalePageLayoutView="0" workbookViewId="0" topLeftCell="A27">
      <selection activeCell="D45" sqref="D45"/>
    </sheetView>
  </sheetViews>
  <sheetFormatPr defaultColWidth="15.7109375" defaultRowHeight="15"/>
  <cols>
    <col min="1" max="1" width="30.7109375" style="1" customWidth="1"/>
    <col min="2" max="2" width="6.7109375" style="1" customWidth="1"/>
    <col min="3" max="16384" width="15.7109375" style="1" customWidth="1"/>
  </cols>
  <sheetData>
    <row r="1" spans="1:3" ht="15">
      <c r="A1" s="195" t="s">
        <v>414</v>
      </c>
      <c r="B1" s="35"/>
      <c r="C1" s="60"/>
    </row>
    <row r="2" spans="1:9" ht="15">
      <c r="A2" s="196" t="s">
        <v>415</v>
      </c>
      <c r="B2" s="113"/>
      <c r="C2" s="87"/>
      <c r="D2" s="34"/>
      <c r="E2" s="34"/>
      <c r="F2" s="34"/>
      <c r="G2" s="34"/>
      <c r="H2" s="34"/>
      <c r="I2" s="61"/>
    </row>
    <row r="3" spans="1:9" ht="15">
      <c r="A3" s="61"/>
      <c r="B3" s="121"/>
      <c r="C3" s="122"/>
      <c r="D3" s="61"/>
      <c r="E3" s="61"/>
      <c r="F3" s="61"/>
      <c r="G3" s="61"/>
      <c r="H3" s="61"/>
      <c r="I3" s="61"/>
    </row>
    <row r="4" spans="1:3" ht="15">
      <c r="A4" s="225" t="s">
        <v>416</v>
      </c>
      <c r="B4" s="226"/>
      <c r="C4" s="227"/>
    </row>
    <row r="5" spans="1:8" ht="15">
      <c r="A5" s="196" t="s">
        <v>417</v>
      </c>
      <c r="B5" s="33"/>
      <c r="C5" s="33"/>
      <c r="D5" s="34"/>
      <c r="E5" s="34"/>
      <c r="F5" s="34"/>
      <c r="G5" s="34"/>
      <c r="H5" s="34"/>
    </row>
    <row r="6" spans="1:8" ht="15">
      <c r="A6" s="196" t="s">
        <v>418</v>
      </c>
      <c r="B6" s="33"/>
      <c r="C6" s="33"/>
      <c r="D6" s="34"/>
      <c r="E6" s="34"/>
      <c r="F6" s="34"/>
      <c r="G6" s="34"/>
      <c r="H6" s="34"/>
    </row>
    <row r="7" spans="1:3" ht="14.25">
      <c r="A7" s="197" t="s">
        <v>419</v>
      </c>
      <c r="B7" s="31" t="s">
        <v>170</v>
      </c>
      <c r="C7" s="161"/>
    </row>
    <row r="8" spans="1:3" ht="28.5">
      <c r="A8" s="197" t="s">
        <v>420</v>
      </c>
      <c r="B8" s="37" t="s">
        <v>142</v>
      </c>
      <c r="C8" s="161"/>
    </row>
    <row r="9" spans="1:3" ht="15">
      <c r="A9" s="222" t="s">
        <v>421</v>
      </c>
      <c r="B9" s="223"/>
      <c r="C9" s="224"/>
    </row>
    <row r="10" spans="1:3" ht="14.25">
      <c r="A10" s="198" t="s">
        <v>422</v>
      </c>
      <c r="B10" s="3" t="s">
        <v>146</v>
      </c>
      <c r="C10" s="163"/>
    </row>
    <row r="11" spans="1:3" ht="14.25">
      <c r="A11" s="198" t="s">
        <v>423</v>
      </c>
      <c r="B11" s="3" t="s">
        <v>146</v>
      </c>
      <c r="C11" s="163"/>
    </row>
    <row r="12" spans="1:3" ht="14.25">
      <c r="A12" s="198" t="s">
        <v>424</v>
      </c>
      <c r="B12" s="3" t="s">
        <v>146</v>
      </c>
      <c r="C12" s="163"/>
    </row>
    <row r="13" spans="1:3" ht="14.25">
      <c r="A13" s="198" t="s">
        <v>425</v>
      </c>
      <c r="B13" s="3" t="s">
        <v>146</v>
      </c>
      <c r="C13" s="163"/>
    </row>
    <row r="14" spans="1:3" ht="14.25">
      <c r="A14" s="198" t="s">
        <v>426</v>
      </c>
      <c r="B14" s="3" t="s">
        <v>146</v>
      </c>
      <c r="C14" s="163"/>
    </row>
    <row r="15" spans="1:3" ht="14.25">
      <c r="A15" s="198" t="s">
        <v>427</v>
      </c>
      <c r="B15" s="3" t="s">
        <v>146</v>
      </c>
      <c r="C15" s="163"/>
    </row>
    <row r="16" spans="1:3" ht="14.25">
      <c r="A16" s="198" t="s">
        <v>428</v>
      </c>
      <c r="B16" s="3" t="s">
        <v>146</v>
      </c>
      <c r="C16" s="163"/>
    </row>
    <row r="17" spans="1:3" ht="14.25">
      <c r="A17" s="198" t="s">
        <v>429</v>
      </c>
      <c r="B17" s="3" t="s">
        <v>146</v>
      </c>
      <c r="C17" s="163"/>
    </row>
    <row r="18" spans="1:3" ht="14.25">
      <c r="A18" s="198" t="s">
        <v>430</v>
      </c>
      <c r="B18" s="3" t="s">
        <v>146</v>
      </c>
      <c r="C18" s="163"/>
    </row>
    <row r="19" spans="1:3" ht="14.25">
      <c r="A19" s="198" t="s">
        <v>431</v>
      </c>
      <c r="B19" s="3" t="s">
        <v>146</v>
      </c>
      <c r="C19" s="163"/>
    </row>
    <row r="20" spans="1:3" ht="14.25">
      <c r="A20" s="198" t="s">
        <v>432</v>
      </c>
      <c r="B20" s="3" t="s">
        <v>146</v>
      </c>
      <c r="C20" s="163"/>
    </row>
    <row r="21" spans="1:3" ht="14.25">
      <c r="A21" s="198" t="s">
        <v>433</v>
      </c>
      <c r="B21" s="3" t="s">
        <v>146</v>
      </c>
      <c r="C21" s="163"/>
    </row>
    <row r="22" spans="1:3" ht="14.25">
      <c r="A22" s="198" t="s">
        <v>434</v>
      </c>
      <c r="B22" s="3" t="s">
        <v>146</v>
      </c>
      <c r="C22" s="163"/>
    </row>
    <row r="23" spans="1:3" ht="14.25">
      <c r="A23" s="198" t="s">
        <v>435</v>
      </c>
      <c r="B23" s="3" t="s">
        <v>146</v>
      </c>
      <c r="C23" s="163"/>
    </row>
    <row r="26" spans="1:6" ht="15">
      <c r="A26" s="225" t="s">
        <v>436</v>
      </c>
      <c r="B26" s="226"/>
      <c r="C26" s="227"/>
      <c r="D26" s="157"/>
      <c r="E26" s="123"/>
      <c r="F26" s="123"/>
    </row>
    <row r="27" spans="1:8" ht="15">
      <c r="A27" s="196" t="s">
        <v>437</v>
      </c>
      <c r="B27" s="33"/>
      <c r="C27" s="33"/>
      <c r="D27" s="34"/>
      <c r="E27" s="34"/>
      <c r="F27" s="34"/>
      <c r="G27" s="34"/>
      <c r="H27" s="34"/>
    </row>
    <row r="28" spans="1:8" ht="15">
      <c r="A28" s="196" t="s">
        <v>438</v>
      </c>
      <c r="B28" s="33"/>
      <c r="C28" s="33"/>
      <c r="D28" s="34"/>
      <c r="E28" s="34"/>
      <c r="F28" s="34"/>
      <c r="G28" s="34"/>
      <c r="H28" s="34"/>
    </row>
    <row r="29" spans="1:8" ht="15">
      <c r="A29" s="196" t="s">
        <v>439</v>
      </c>
      <c r="B29" s="33"/>
      <c r="C29" s="33"/>
      <c r="D29" s="34"/>
      <c r="E29" s="34"/>
      <c r="F29" s="34"/>
      <c r="G29" s="34"/>
      <c r="H29" s="34"/>
    </row>
    <row r="30" spans="1:8" ht="15">
      <c r="A30" s="196" t="s">
        <v>440</v>
      </c>
      <c r="B30" s="33"/>
      <c r="C30" s="33"/>
      <c r="D30" s="34"/>
      <c r="E30" s="34"/>
      <c r="F30" s="34"/>
      <c r="G30" s="34"/>
      <c r="H30" s="34"/>
    </row>
    <row r="31" spans="1:3" ht="28.5">
      <c r="A31" s="199" t="s">
        <v>441</v>
      </c>
      <c r="B31" s="199" t="s">
        <v>411</v>
      </c>
      <c r="C31" s="199" t="s">
        <v>460</v>
      </c>
    </row>
    <row r="32" spans="1:3" ht="14.25">
      <c r="A32" s="198" t="s">
        <v>442</v>
      </c>
      <c r="B32" s="3" t="s">
        <v>3</v>
      </c>
      <c r="C32" s="160"/>
    </row>
    <row r="33" spans="1:3" ht="14.25">
      <c r="A33" s="198" t="s">
        <v>443</v>
      </c>
      <c r="B33" s="3" t="s">
        <v>3</v>
      </c>
      <c r="C33" s="160"/>
    </row>
    <row r="34" spans="1:3" ht="14.25">
      <c r="A34" s="198" t="s">
        <v>444</v>
      </c>
      <c r="B34" s="3" t="s">
        <v>4</v>
      </c>
      <c r="C34" s="160"/>
    </row>
    <row r="35" spans="1:3" ht="14.25">
      <c r="A35" s="198" t="s">
        <v>445</v>
      </c>
      <c r="B35" s="3" t="s">
        <v>4</v>
      </c>
      <c r="C35" s="160"/>
    </row>
    <row r="36" spans="1:3" ht="14.25">
      <c r="A36" s="198" t="s">
        <v>446</v>
      </c>
      <c r="B36" s="3" t="s">
        <v>3</v>
      </c>
      <c r="C36" s="160"/>
    </row>
    <row r="37" spans="1:3" ht="14.25">
      <c r="A37" s="198" t="s">
        <v>447</v>
      </c>
      <c r="B37" s="3" t="s">
        <v>3</v>
      </c>
      <c r="C37" s="160"/>
    </row>
    <row r="38" spans="1:3" ht="14.25">
      <c r="A38" s="198" t="s">
        <v>448</v>
      </c>
      <c r="B38" s="3" t="s">
        <v>3</v>
      </c>
      <c r="C38" s="160"/>
    </row>
    <row r="39" spans="1:3" ht="14.25">
      <c r="A39" s="198" t="s">
        <v>449</v>
      </c>
      <c r="B39" s="3" t="s">
        <v>3</v>
      </c>
      <c r="C39" s="160"/>
    </row>
    <row r="40" spans="1:3" ht="14.25">
      <c r="A40" s="198" t="s">
        <v>450</v>
      </c>
      <c r="B40" s="3" t="s">
        <v>3</v>
      </c>
      <c r="C40" s="160"/>
    </row>
    <row r="41" spans="1:3" ht="14.25">
      <c r="A41" s="198" t="s">
        <v>451</v>
      </c>
      <c r="B41" s="3" t="s">
        <v>3</v>
      </c>
      <c r="C41" s="160"/>
    </row>
    <row r="42" spans="1:4" ht="14.25">
      <c r="A42" s="198" t="s">
        <v>452</v>
      </c>
      <c r="B42" s="160"/>
      <c r="C42" s="160"/>
      <c r="D42" s="200" t="s">
        <v>461</v>
      </c>
    </row>
    <row r="43" spans="1:4" ht="14.25">
      <c r="A43" s="198" t="s">
        <v>453</v>
      </c>
      <c r="B43" s="160"/>
      <c r="C43" s="160"/>
      <c r="D43" s="200" t="s">
        <v>462</v>
      </c>
    </row>
    <row r="44" spans="1:3" ht="14.25">
      <c r="A44" s="198" t="s">
        <v>454</v>
      </c>
      <c r="B44" s="3" t="s">
        <v>3</v>
      </c>
      <c r="C44" s="160"/>
    </row>
    <row r="45" spans="1:3" ht="14.25">
      <c r="A45" s="198" t="s">
        <v>455</v>
      </c>
      <c r="B45" s="3" t="s">
        <v>3</v>
      </c>
      <c r="C45" s="160"/>
    </row>
    <row r="46" spans="1:3" ht="14.25">
      <c r="A46" s="198" t="s">
        <v>456</v>
      </c>
      <c r="B46" s="3" t="s">
        <v>4</v>
      </c>
      <c r="C46" s="160"/>
    </row>
    <row r="47" spans="1:3" ht="14.25">
      <c r="A47" s="198" t="s">
        <v>457</v>
      </c>
      <c r="B47" s="3" t="s">
        <v>4</v>
      </c>
      <c r="C47" s="160"/>
    </row>
    <row r="48" spans="1:4" ht="14.25">
      <c r="A48" s="198" t="s">
        <v>431</v>
      </c>
      <c r="B48" s="3" t="s">
        <v>170</v>
      </c>
      <c r="C48" s="160"/>
      <c r="D48" s="200" t="s">
        <v>463</v>
      </c>
    </row>
    <row r="49" spans="1:4" ht="14.25">
      <c r="A49" s="198" t="s">
        <v>432</v>
      </c>
      <c r="B49" s="3" t="s">
        <v>170</v>
      </c>
      <c r="C49" s="160"/>
      <c r="D49" s="200" t="s">
        <v>463</v>
      </c>
    </row>
    <row r="50" spans="1:4" ht="14.25">
      <c r="A50" s="198" t="s">
        <v>433</v>
      </c>
      <c r="B50" s="3" t="s">
        <v>170</v>
      </c>
      <c r="C50" s="160"/>
      <c r="D50" s="200" t="s">
        <v>463</v>
      </c>
    </row>
    <row r="51" spans="1:3" ht="14.25">
      <c r="A51" s="198" t="s">
        <v>458</v>
      </c>
      <c r="B51" s="160"/>
      <c r="C51" s="160"/>
    </row>
    <row r="52" spans="1:3" ht="14.25">
      <c r="A52" s="198" t="s">
        <v>459</v>
      </c>
      <c r="B52" s="160"/>
      <c r="C52" s="160"/>
    </row>
    <row r="54" spans="1:3" ht="15">
      <c r="A54" s="225" t="s">
        <v>464</v>
      </c>
      <c r="B54" s="226"/>
      <c r="C54" s="227"/>
    </row>
    <row r="55" spans="1:9" ht="15">
      <c r="A55" s="196" t="s">
        <v>465</v>
      </c>
      <c r="B55" s="33"/>
      <c r="C55" s="33"/>
      <c r="D55" s="34"/>
      <c r="E55" s="34"/>
      <c r="F55" s="34"/>
      <c r="G55" s="34"/>
      <c r="H55" s="34"/>
      <c r="I55" s="34"/>
    </row>
    <row r="56" spans="1:3" ht="14.25">
      <c r="A56" s="197" t="s">
        <v>466</v>
      </c>
      <c r="B56" s="31" t="s">
        <v>170</v>
      </c>
      <c r="C56" s="161"/>
    </row>
    <row r="58" ht="14.25">
      <c r="A58" s="200" t="s">
        <v>467</v>
      </c>
    </row>
    <row r="59" spans="1:4" ht="14.25">
      <c r="A59" s="3" t="s">
        <v>161</v>
      </c>
      <c r="B59" s="3" t="s">
        <v>3</v>
      </c>
      <c r="C59" s="162">
        <f>SUM(Hiilijalanjäljet!B22:B42)+Hiilijalanjäljet!B4+SUM(Hiilijalanjäljet!B6:B19)+Hiilijalanjäljet!B44</f>
        <v>0</v>
      </c>
      <c r="D59" s="35"/>
    </row>
  </sheetData>
  <sheetProtection password="E765" sheet="1" objects="1" scenarios="1"/>
  <mergeCells count="4">
    <mergeCell ref="A9:C9"/>
    <mergeCell ref="A4:C4"/>
    <mergeCell ref="A26:C26"/>
    <mergeCell ref="A54:C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I53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30.7109375" style="1" customWidth="1"/>
    <col min="2" max="2" width="7.7109375" style="1" customWidth="1"/>
    <col min="3" max="20" width="15.7109375" style="1" customWidth="1"/>
    <col min="21" max="16384" width="9.140625" style="1" customWidth="1"/>
  </cols>
  <sheetData>
    <row r="1" spans="1:3" ht="15">
      <c r="A1" s="195" t="s">
        <v>481</v>
      </c>
      <c r="B1" s="35"/>
      <c r="C1" s="60"/>
    </row>
    <row r="2" spans="1:9" ht="15">
      <c r="A2" s="196" t="s">
        <v>482</v>
      </c>
      <c r="B2" s="113"/>
      <c r="C2" s="87"/>
      <c r="D2" s="34"/>
      <c r="E2" s="34"/>
      <c r="F2" s="34"/>
      <c r="G2" s="34"/>
      <c r="H2" s="34"/>
      <c r="I2" s="34"/>
    </row>
    <row r="4" spans="1:6" ht="15">
      <c r="A4" s="225" t="s">
        <v>480</v>
      </c>
      <c r="B4" s="226"/>
      <c r="C4" s="227"/>
      <c r="D4" s="157"/>
      <c r="E4" s="123"/>
      <c r="F4" s="123"/>
    </row>
    <row r="5" spans="1:9" ht="15">
      <c r="A5" s="196" t="s">
        <v>476</v>
      </c>
      <c r="B5" s="33"/>
      <c r="C5" s="33"/>
      <c r="D5" s="34"/>
      <c r="E5" s="34"/>
      <c r="F5" s="34"/>
      <c r="G5" s="34"/>
      <c r="H5" s="34"/>
      <c r="I5" s="34"/>
    </row>
    <row r="6" spans="1:9" ht="15">
      <c r="A6" s="196" t="s">
        <v>477</v>
      </c>
      <c r="B6" s="33"/>
      <c r="C6" s="33"/>
      <c r="D6" s="34"/>
      <c r="E6" s="34"/>
      <c r="F6" s="34"/>
      <c r="G6" s="34"/>
      <c r="H6" s="34"/>
      <c r="I6" s="34"/>
    </row>
    <row r="7" spans="1:9" ht="15">
      <c r="A7" s="196" t="s">
        <v>478</v>
      </c>
      <c r="B7" s="33"/>
      <c r="C7" s="33"/>
      <c r="D7" s="34"/>
      <c r="E7" s="34"/>
      <c r="F7" s="34"/>
      <c r="G7" s="34"/>
      <c r="H7" s="34"/>
      <c r="I7" s="34"/>
    </row>
    <row r="8" spans="1:9" ht="15">
      <c r="A8" s="196" t="s">
        <v>479</v>
      </c>
      <c r="B8" s="33"/>
      <c r="C8" s="33"/>
      <c r="D8" s="34"/>
      <c r="E8" s="34"/>
      <c r="F8" s="34"/>
      <c r="G8" s="34"/>
      <c r="H8" s="34"/>
      <c r="I8" s="34"/>
    </row>
    <row r="9" spans="1:3" ht="28.5">
      <c r="A9" s="201" t="s">
        <v>441</v>
      </c>
      <c r="B9" s="199" t="s">
        <v>411</v>
      </c>
      <c r="C9" s="199" t="s">
        <v>460</v>
      </c>
    </row>
    <row r="10" spans="1:3" ht="14.25">
      <c r="A10" s="202" t="s">
        <v>442</v>
      </c>
      <c r="B10" s="31" t="s">
        <v>3</v>
      </c>
      <c r="C10" s="160"/>
    </row>
    <row r="11" spans="1:3" ht="14.25">
      <c r="A11" s="202" t="s">
        <v>443</v>
      </c>
      <c r="B11" s="31" t="s">
        <v>3</v>
      </c>
      <c r="C11" s="160"/>
    </row>
    <row r="12" spans="1:3" ht="14.25">
      <c r="A12" s="202" t="s">
        <v>444</v>
      </c>
      <c r="B12" s="31" t="s">
        <v>4</v>
      </c>
      <c r="C12" s="160"/>
    </row>
    <row r="13" spans="1:3" ht="14.25">
      <c r="A13" s="202" t="s">
        <v>445</v>
      </c>
      <c r="B13" s="31" t="s">
        <v>4</v>
      </c>
      <c r="C13" s="160"/>
    </row>
    <row r="14" spans="1:3" ht="14.25">
      <c r="A14" s="202" t="s">
        <v>468</v>
      </c>
      <c r="B14" s="31" t="s">
        <v>3</v>
      </c>
      <c r="C14" s="160"/>
    </row>
    <row r="15" spans="1:3" ht="14.25">
      <c r="A15" s="202" t="s">
        <v>469</v>
      </c>
      <c r="B15" s="31" t="s">
        <v>3</v>
      </c>
      <c r="C15" s="160"/>
    </row>
    <row r="16" spans="1:3" ht="14.25">
      <c r="A16" s="202" t="s">
        <v>446</v>
      </c>
      <c r="B16" s="31" t="s">
        <v>3</v>
      </c>
      <c r="C16" s="160"/>
    </row>
    <row r="17" spans="1:3" ht="14.25">
      <c r="A17" s="202" t="s">
        <v>447</v>
      </c>
      <c r="B17" s="31" t="s">
        <v>3</v>
      </c>
      <c r="C17" s="160"/>
    </row>
    <row r="18" spans="1:3" ht="14.25">
      <c r="A18" s="202" t="s">
        <v>448</v>
      </c>
      <c r="B18" s="31" t="s">
        <v>3</v>
      </c>
      <c r="C18" s="160"/>
    </row>
    <row r="19" spans="1:3" ht="14.25">
      <c r="A19" s="202" t="s">
        <v>449</v>
      </c>
      <c r="B19" s="31" t="s">
        <v>3</v>
      </c>
      <c r="C19" s="160"/>
    </row>
    <row r="20" spans="1:3" ht="14.25">
      <c r="A20" s="202" t="s">
        <v>450</v>
      </c>
      <c r="B20" s="31" t="s">
        <v>3</v>
      </c>
      <c r="C20" s="160"/>
    </row>
    <row r="21" spans="1:3" ht="14.25">
      <c r="A21" s="202" t="s">
        <v>451</v>
      </c>
      <c r="B21" s="31" t="s">
        <v>3</v>
      </c>
      <c r="C21" s="160"/>
    </row>
    <row r="22" spans="1:4" ht="14.25">
      <c r="A22" s="202" t="s">
        <v>470</v>
      </c>
      <c r="B22" s="161"/>
      <c r="C22" s="160"/>
      <c r="D22" s="200" t="s">
        <v>461</v>
      </c>
    </row>
    <row r="23" spans="1:4" ht="14.25">
      <c r="A23" s="202" t="s">
        <v>471</v>
      </c>
      <c r="B23" s="161"/>
      <c r="C23" s="160"/>
      <c r="D23" s="200" t="s">
        <v>462</v>
      </c>
    </row>
    <row r="24" spans="1:5" ht="14.25">
      <c r="A24" s="202" t="s">
        <v>454</v>
      </c>
      <c r="B24" s="31" t="s">
        <v>3</v>
      </c>
      <c r="C24" s="160"/>
      <c r="E24" s="35"/>
    </row>
    <row r="25" spans="1:3" ht="14.25">
      <c r="A25" s="202" t="s">
        <v>455</v>
      </c>
      <c r="B25" s="31" t="s">
        <v>3</v>
      </c>
      <c r="C25" s="160"/>
    </row>
    <row r="26" spans="1:3" ht="14.25">
      <c r="A26" s="202" t="s">
        <v>472</v>
      </c>
      <c r="B26" s="31" t="s">
        <v>4</v>
      </c>
      <c r="C26" s="160"/>
    </row>
    <row r="27" spans="1:3" ht="14.25">
      <c r="A27" s="202" t="s">
        <v>473</v>
      </c>
      <c r="B27" s="31" t="s">
        <v>4</v>
      </c>
      <c r="C27" s="160"/>
    </row>
    <row r="28" spans="1:3" ht="14.25">
      <c r="A28" s="202" t="s">
        <v>474</v>
      </c>
      <c r="B28" s="161"/>
      <c r="C28" s="160"/>
    </row>
    <row r="29" spans="1:3" ht="14.25">
      <c r="A29" s="202" t="s">
        <v>475</v>
      </c>
      <c r="B29" s="161"/>
      <c r="C29" s="160"/>
    </row>
    <row r="31" spans="1:3" ht="15">
      <c r="A31" s="229" t="s">
        <v>137</v>
      </c>
      <c r="B31" s="226"/>
      <c r="C31" s="227"/>
    </row>
    <row r="32" spans="1:8" ht="15">
      <c r="A32" s="34" t="s">
        <v>139</v>
      </c>
      <c r="B32" s="33"/>
      <c r="C32" s="33"/>
      <c r="D32" s="34"/>
      <c r="E32" s="34"/>
      <c r="F32" s="34"/>
      <c r="G32" s="34"/>
      <c r="H32" s="61"/>
    </row>
    <row r="33" spans="1:8" ht="15">
      <c r="A33" s="34" t="s">
        <v>377</v>
      </c>
      <c r="B33" s="33"/>
      <c r="C33" s="33"/>
      <c r="D33" s="34"/>
      <c r="E33" s="34"/>
      <c r="F33" s="34"/>
      <c r="G33" s="34"/>
      <c r="H33" s="61"/>
    </row>
    <row r="34" spans="1:3" ht="14.25">
      <c r="A34" s="38" t="s">
        <v>140</v>
      </c>
      <c r="B34" s="31" t="s">
        <v>170</v>
      </c>
      <c r="C34" s="161"/>
    </row>
    <row r="35" spans="1:3" ht="28.5">
      <c r="A35" s="38" t="s">
        <v>141</v>
      </c>
      <c r="B35" s="37" t="s">
        <v>142</v>
      </c>
      <c r="C35" s="161"/>
    </row>
    <row r="36" spans="1:3" ht="15">
      <c r="A36" s="228" t="s">
        <v>143</v>
      </c>
      <c r="B36" s="223"/>
      <c r="C36" s="224"/>
    </row>
    <row r="37" spans="1:3" ht="14.25">
      <c r="A37" s="38" t="s">
        <v>144</v>
      </c>
      <c r="B37" s="3" t="s">
        <v>146</v>
      </c>
      <c r="C37" s="163"/>
    </row>
    <row r="38" spans="1:3" ht="14.25">
      <c r="A38" s="38" t="s">
        <v>145</v>
      </c>
      <c r="B38" s="3" t="s">
        <v>146</v>
      </c>
      <c r="C38" s="163"/>
    </row>
    <row r="39" spans="1:3" ht="14.25">
      <c r="A39" s="38" t="s">
        <v>147</v>
      </c>
      <c r="B39" s="3" t="s">
        <v>146</v>
      </c>
      <c r="C39" s="163"/>
    </row>
    <row r="40" spans="1:3" ht="14.25">
      <c r="A40" s="38" t="s">
        <v>1</v>
      </c>
      <c r="B40" s="3" t="s">
        <v>146</v>
      </c>
      <c r="C40" s="163"/>
    </row>
    <row r="41" spans="1:3" ht="14.25">
      <c r="A41" s="38" t="s">
        <v>148</v>
      </c>
      <c r="B41" s="3" t="s">
        <v>146</v>
      </c>
      <c r="C41" s="163"/>
    </row>
    <row r="42" spans="1:3" ht="14.25">
      <c r="A42" s="38" t="s">
        <v>12</v>
      </c>
      <c r="B42" s="3" t="s">
        <v>146</v>
      </c>
      <c r="C42" s="163"/>
    </row>
    <row r="43" spans="1:3" ht="14.25">
      <c r="A43" s="38" t="s">
        <v>134</v>
      </c>
      <c r="B43" s="3" t="s">
        <v>146</v>
      </c>
      <c r="C43" s="163"/>
    </row>
    <row r="44" spans="1:3" ht="14.25">
      <c r="A44" s="38" t="s">
        <v>2</v>
      </c>
      <c r="B44" s="3" t="s">
        <v>146</v>
      </c>
      <c r="C44" s="163"/>
    </row>
    <row r="45" spans="1:3" ht="14.25">
      <c r="A45" s="38" t="s">
        <v>149</v>
      </c>
      <c r="B45" s="3" t="s">
        <v>146</v>
      </c>
      <c r="C45" s="163"/>
    </row>
    <row r="46" spans="1:3" ht="14.25">
      <c r="A46" s="38" t="s">
        <v>136</v>
      </c>
      <c r="B46" s="3" t="s">
        <v>146</v>
      </c>
      <c r="C46" s="163"/>
    </row>
    <row r="48" spans="1:3" ht="15">
      <c r="A48" s="229" t="s">
        <v>176</v>
      </c>
      <c r="B48" s="226"/>
      <c r="C48" s="227"/>
    </row>
    <row r="49" spans="1:9" ht="15">
      <c r="A49" s="34" t="s">
        <v>177</v>
      </c>
      <c r="B49" s="33"/>
      <c r="C49" s="33"/>
      <c r="D49" s="34"/>
      <c r="E49" s="34"/>
      <c r="F49" s="34"/>
      <c r="G49" s="34"/>
      <c r="H49" s="34"/>
      <c r="I49" s="34"/>
    </row>
    <row r="50" spans="1:3" ht="14.25">
      <c r="A50" s="36" t="s">
        <v>140</v>
      </c>
      <c r="B50" s="31" t="s">
        <v>170</v>
      </c>
      <c r="C50" s="161"/>
    </row>
    <row r="52" ht="14.25">
      <c r="A52" s="1" t="s">
        <v>160</v>
      </c>
    </row>
    <row r="53" spans="1:4" ht="14.25">
      <c r="A53" s="3" t="s">
        <v>161</v>
      </c>
      <c r="B53" s="3" t="s">
        <v>3</v>
      </c>
      <c r="C53" s="162">
        <f>SUM(Hiilijalanjäljet!E4:E23)+Hiilijalanjäljet!E25+SUM(Hiilijalanjäljet!E27:E36)+Hiilijalanjäljet!E38</f>
        <v>0</v>
      </c>
      <c r="D53" s="35"/>
    </row>
  </sheetData>
  <sheetProtection password="E765" sheet="1" objects="1" scenarios="1"/>
  <autoFilter ref="A1:B32"/>
  <mergeCells count="4">
    <mergeCell ref="A36:C36"/>
    <mergeCell ref="A4:C4"/>
    <mergeCell ref="A31:C31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N5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0.7109375" style="1" customWidth="1"/>
    <col min="2" max="16384" width="9.140625" style="1" customWidth="1"/>
  </cols>
  <sheetData>
    <row r="1" spans="1:2" ht="15">
      <c r="A1" s="195" t="s">
        <v>483</v>
      </c>
      <c r="B1" s="60"/>
    </row>
    <row r="2" spans="1:14" ht="14.25">
      <c r="A2" s="196" t="s">
        <v>484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196" t="s">
        <v>485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3" ht="28.5">
      <c r="A4" s="84"/>
      <c r="B4" s="203" t="s">
        <v>486</v>
      </c>
      <c r="C4" s="4" t="s">
        <v>162</v>
      </c>
    </row>
    <row r="5" spans="1:3" ht="14.25">
      <c r="A5" s="198" t="s">
        <v>487</v>
      </c>
      <c r="B5" s="161"/>
      <c r="C5" s="164">
        <f>B5*Päästökertoimet!E94/1.97</f>
        <v>0</v>
      </c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G14"/>
  <sheetViews>
    <sheetView showGridLines="0" zoomScalePageLayoutView="0" workbookViewId="0" topLeftCell="A1">
      <selection activeCell="D8" sqref="D8"/>
    </sheetView>
  </sheetViews>
  <sheetFormatPr defaultColWidth="15.7109375" defaultRowHeight="15"/>
  <cols>
    <col min="1" max="1" width="30.7109375" style="1" customWidth="1"/>
    <col min="2" max="16384" width="15.7109375" style="1" customWidth="1"/>
  </cols>
  <sheetData>
    <row r="1" ht="15">
      <c r="A1" s="195" t="s">
        <v>488</v>
      </c>
    </row>
    <row r="2" spans="1:7" ht="14.25">
      <c r="A2" s="196" t="s">
        <v>489</v>
      </c>
      <c r="B2" s="34"/>
      <c r="C2" s="34"/>
      <c r="D2" s="34"/>
      <c r="E2" s="34"/>
      <c r="F2" s="34"/>
      <c r="G2" s="34"/>
    </row>
    <row r="3" spans="1:7" ht="14.25">
      <c r="A3" s="196" t="s">
        <v>490</v>
      </c>
      <c r="B3" s="34"/>
      <c r="C3" s="34"/>
      <c r="D3" s="34"/>
      <c r="E3" s="34"/>
      <c r="F3" s="34"/>
      <c r="G3" s="34"/>
    </row>
    <row r="4" ht="15">
      <c r="A4" s="2"/>
    </row>
    <row r="5" ht="15">
      <c r="A5" s="195" t="s">
        <v>491</v>
      </c>
    </row>
    <row r="6" spans="1:3" ht="14.25">
      <c r="A6" s="198" t="s">
        <v>492</v>
      </c>
      <c r="B6" s="198" t="s">
        <v>497</v>
      </c>
      <c r="C6" s="165"/>
    </row>
    <row r="7" spans="1:3" ht="14.25">
      <c r="A7" s="198" t="s">
        <v>493</v>
      </c>
      <c r="B7" s="198" t="s">
        <v>497</v>
      </c>
      <c r="C7" s="160"/>
    </row>
    <row r="8" spans="1:2" ht="14.25">
      <c r="A8" s="200"/>
      <c r="B8" s="200"/>
    </row>
    <row r="9" spans="1:2" ht="15">
      <c r="A9" s="195" t="s">
        <v>494</v>
      </c>
      <c r="B9" s="200"/>
    </row>
    <row r="10" spans="1:3" ht="14.25">
      <c r="A10" s="198" t="s">
        <v>495</v>
      </c>
      <c r="B10" s="198" t="s">
        <v>497</v>
      </c>
      <c r="C10" s="165"/>
    </row>
    <row r="11" spans="1:3" ht="14.25">
      <c r="A11" s="198" t="s">
        <v>496</v>
      </c>
      <c r="B11" s="3" t="s">
        <v>497</v>
      </c>
      <c r="C11" s="165"/>
    </row>
    <row r="12" ht="14.25">
      <c r="A12" s="200"/>
    </row>
    <row r="13" ht="14.25">
      <c r="A13" s="200" t="s">
        <v>467</v>
      </c>
    </row>
    <row r="14" spans="1:3" ht="14.25">
      <c r="A14" s="3" t="s">
        <v>161</v>
      </c>
      <c r="B14" s="3" t="s">
        <v>3</v>
      </c>
      <c r="C14" s="162">
        <f>SUM(Hiilijalanjäljet!H4+Hiilijalanjäljet!H5+Hiilijalanjäljet!H6+Hiilijalanjäljet!H7)</f>
        <v>0</v>
      </c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I55"/>
  <sheetViews>
    <sheetView showGridLines="0" zoomScalePageLayoutView="0" workbookViewId="0" topLeftCell="A27">
      <selection activeCell="D41" sqref="D41"/>
    </sheetView>
  </sheetViews>
  <sheetFormatPr defaultColWidth="9.140625" defaultRowHeight="15"/>
  <cols>
    <col min="1" max="1" width="55.7109375" style="1" customWidth="1"/>
    <col min="2" max="3" width="15.7109375" style="1" customWidth="1"/>
    <col min="4" max="16384" width="9.140625" style="1" customWidth="1"/>
  </cols>
  <sheetData>
    <row r="1" ht="15">
      <c r="A1" s="2" t="s">
        <v>358</v>
      </c>
    </row>
    <row r="2" spans="1:8" ht="14.25">
      <c r="A2" s="69" t="s">
        <v>378</v>
      </c>
      <c r="B2" s="34"/>
      <c r="C2" s="34"/>
      <c r="D2" s="34"/>
      <c r="E2" s="34"/>
      <c r="F2" s="34"/>
      <c r="G2" s="34"/>
      <c r="H2" s="34"/>
    </row>
    <row r="3" spans="1:8" ht="14.25">
      <c r="A3" s="69" t="s">
        <v>380</v>
      </c>
      <c r="B3" s="34"/>
      <c r="C3" s="34"/>
      <c r="D3" s="34"/>
      <c r="E3" s="34"/>
      <c r="F3" s="34"/>
      <c r="G3" s="34"/>
      <c r="H3" s="34"/>
    </row>
    <row r="4" spans="1:8" ht="14.25">
      <c r="A4" s="69" t="s">
        <v>237</v>
      </c>
      <c r="B4" s="34"/>
      <c r="C4" s="34"/>
      <c r="D4" s="34"/>
      <c r="E4" s="34"/>
      <c r="F4" s="34"/>
      <c r="G4" s="34"/>
      <c r="H4" s="34"/>
    </row>
    <row r="5" spans="1:8" ht="14.25">
      <c r="A5" s="69" t="s">
        <v>382</v>
      </c>
      <c r="B5" s="34"/>
      <c r="C5" s="34"/>
      <c r="D5" s="34"/>
      <c r="E5" s="34"/>
      <c r="F5" s="34"/>
      <c r="G5" s="34"/>
      <c r="H5" s="34"/>
    </row>
    <row r="6" spans="1:8" ht="14.25">
      <c r="A6" s="69" t="s">
        <v>381</v>
      </c>
      <c r="B6" s="34"/>
      <c r="C6" s="34"/>
      <c r="D6" s="34"/>
      <c r="E6" s="34"/>
      <c r="F6" s="34"/>
      <c r="G6" s="34"/>
      <c r="H6" s="34"/>
    </row>
    <row r="7" spans="1:9" ht="14.25">
      <c r="A7" s="74"/>
      <c r="B7" s="61"/>
      <c r="C7" s="61"/>
      <c r="D7" s="61"/>
      <c r="E7" s="61"/>
      <c r="F7" s="61"/>
      <c r="G7" s="61"/>
      <c r="H7" s="61"/>
      <c r="I7" s="61"/>
    </row>
    <row r="8" spans="1:3" ht="28.5">
      <c r="A8" s="204" t="s">
        <v>498</v>
      </c>
      <c r="B8" s="205" t="s">
        <v>499</v>
      </c>
      <c r="C8" s="198" t="s">
        <v>500</v>
      </c>
    </row>
    <row r="9" spans="1:3" ht="14.25">
      <c r="A9" s="204" t="s">
        <v>501</v>
      </c>
      <c r="B9" s="85"/>
      <c r="C9" s="187"/>
    </row>
    <row r="10" spans="1:2" ht="14.25">
      <c r="A10" s="125" t="s">
        <v>502</v>
      </c>
      <c r="B10" s="161"/>
    </row>
    <row r="11" spans="1:2" ht="14.25">
      <c r="A11" s="130" t="s">
        <v>503</v>
      </c>
      <c r="B11" s="161"/>
    </row>
    <row r="12" spans="1:2" ht="14.25">
      <c r="A12" s="131" t="s">
        <v>504</v>
      </c>
      <c r="B12" s="161"/>
    </row>
    <row r="13" spans="1:2" ht="15">
      <c r="A13" s="131" t="s">
        <v>509</v>
      </c>
      <c r="B13" s="161"/>
    </row>
    <row r="14" spans="1:2" ht="15">
      <c r="A14" s="131" t="s">
        <v>505</v>
      </c>
      <c r="B14" s="161"/>
    </row>
    <row r="15" spans="1:2" ht="14.25">
      <c r="A15" s="131" t="s">
        <v>512</v>
      </c>
      <c r="B15" s="161"/>
    </row>
    <row r="16" spans="1:2" ht="14.25">
      <c r="A16" s="206" t="s">
        <v>506</v>
      </c>
      <c r="B16" s="161"/>
    </row>
    <row r="17" spans="1:2" ht="14.25">
      <c r="A17" s="125" t="s">
        <v>507</v>
      </c>
      <c r="B17" s="161"/>
    </row>
    <row r="18" spans="1:2" ht="14.25">
      <c r="A18" s="125" t="s">
        <v>508</v>
      </c>
      <c r="B18" s="161"/>
    </row>
    <row r="19" spans="1:2" ht="15">
      <c r="A19" s="125" t="s">
        <v>510</v>
      </c>
      <c r="B19" s="161"/>
    </row>
    <row r="20" spans="1:2" ht="14.25">
      <c r="A20" s="131" t="s">
        <v>511</v>
      </c>
      <c r="B20" s="161"/>
    </row>
    <row r="21" spans="1:2" ht="14.25">
      <c r="A21" s="131" t="s">
        <v>513</v>
      </c>
      <c r="B21" s="161"/>
    </row>
    <row r="22" spans="1:2" ht="14.25">
      <c r="A22" s="131" t="s">
        <v>514</v>
      </c>
      <c r="B22" s="161"/>
    </row>
    <row r="23" spans="1:2" ht="14.25">
      <c r="A23" s="125" t="s">
        <v>515</v>
      </c>
      <c r="B23" s="161"/>
    </row>
    <row r="24" spans="1:2" ht="14.25">
      <c r="A24" s="125" t="s">
        <v>516</v>
      </c>
      <c r="B24" s="161"/>
    </row>
    <row r="25" spans="1:2" ht="14.25">
      <c r="A25" s="206" t="s">
        <v>517</v>
      </c>
      <c r="B25" s="161"/>
    </row>
    <row r="26" spans="1:2" ht="15">
      <c r="A26" s="131" t="s">
        <v>520</v>
      </c>
      <c r="B26" s="161"/>
    </row>
    <row r="27" spans="1:2" ht="15">
      <c r="A27" s="131" t="s">
        <v>519</v>
      </c>
      <c r="B27" s="161"/>
    </row>
    <row r="28" spans="1:2" ht="14.25">
      <c r="A28" s="131" t="s">
        <v>518</v>
      </c>
      <c r="B28" s="161"/>
    </row>
    <row r="29" spans="1:2" ht="14.25">
      <c r="A29" s="125" t="s">
        <v>521</v>
      </c>
      <c r="B29" s="161"/>
    </row>
    <row r="30" spans="1:2" ht="14.25">
      <c r="A30" s="206" t="s">
        <v>522</v>
      </c>
      <c r="B30" s="161"/>
    </row>
    <row r="31" spans="1:2" ht="14.25">
      <c r="A31" s="125" t="s">
        <v>530</v>
      </c>
      <c r="B31" s="161"/>
    </row>
    <row r="32" spans="1:2" ht="14.25">
      <c r="A32" s="125" t="s">
        <v>523</v>
      </c>
      <c r="B32" s="161"/>
    </row>
    <row r="33" spans="1:2" ht="14.25">
      <c r="A33" s="206" t="s">
        <v>524</v>
      </c>
      <c r="B33" s="161"/>
    </row>
    <row r="34" spans="1:2" ht="14.25">
      <c r="A34" s="206" t="s">
        <v>525</v>
      </c>
      <c r="B34" s="161"/>
    </row>
    <row r="35" spans="1:2" ht="14.25">
      <c r="A35" s="206" t="s">
        <v>526</v>
      </c>
      <c r="B35" s="161"/>
    </row>
    <row r="36" spans="1:2" ht="14.25">
      <c r="A36" s="206" t="s">
        <v>527</v>
      </c>
      <c r="B36" s="161"/>
    </row>
    <row r="37" spans="1:2" ht="14.25">
      <c r="A37" s="206" t="s">
        <v>528</v>
      </c>
      <c r="B37" s="161"/>
    </row>
    <row r="38" spans="1:2" ht="14.25">
      <c r="A38" s="206" t="s">
        <v>297</v>
      </c>
      <c r="B38" s="161"/>
    </row>
    <row r="39" spans="1:2" ht="14.25">
      <c r="A39" s="125" t="s">
        <v>529</v>
      </c>
      <c r="B39" s="161"/>
    </row>
    <row r="40" spans="1:2" ht="15">
      <c r="A40" s="125" t="s">
        <v>532</v>
      </c>
      <c r="B40" s="161"/>
    </row>
    <row r="41" spans="1:2" ht="15">
      <c r="A41" s="131" t="s">
        <v>533</v>
      </c>
      <c r="B41" s="161"/>
    </row>
    <row r="42" spans="1:2" ht="14.25">
      <c r="A42" s="131" t="s">
        <v>531</v>
      </c>
      <c r="B42" s="161"/>
    </row>
    <row r="43" spans="1:2" ht="14.25">
      <c r="A43" s="125" t="s">
        <v>534</v>
      </c>
      <c r="B43" s="161"/>
    </row>
    <row r="44" spans="1:2" ht="14.25">
      <c r="A44" s="125" t="s">
        <v>535</v>
      </c>
      <c r="B44" s="161"/>
    </row>
    <row r="45" spans="1:2" ht="14.25">
      <c r="A45" s="125" t="s">
        <v>536</v>
      </c>
      <c r="B45" s="161"/>
    </row>
    <row r="46" spans="1:2" ht="14.25">
      <c r="A46" s="125" t="s">
        <v>537</v>
      </c>
      <c r="B46" s="161"/>
    </row>
    <row r="47" spans="1:2" ht="14.25">
      <c r="A47" s="206" t="s">
        <v>538</v>
      </c>
      <c r="B47" s="161"/>
    </row>
    <row r="48" spans="1:2" ht="14.25">
      <c r="A48" s="131" t="s">
        <v>539</v>
      </c>
      <c r="B48" s="161"/>
    </row>
    <row r="49" spans="1:2" ht="14.25">
      <c r="A49" s="125" t="s">
        <v>540</v>
      </c>
      <c r="B49" s="161"/>
    </row>
    <row r="50" spans="1:2" ht="14.25">
      <c r="A50" s="125" t="s">
        <v>541</v>
      </c>
      <c r="B50" s="161"/>
    </row>
    <row r="51" spans="1:2" ht="14.25">
      <c r="A51" s="125" t="s">
        <v>542</v>
      </c>
      <c r="B51" s="161"/>
    </row>
    <row r="52" spans="1:2" ht="14.25">
      <c r="A52" s="30"/>
      <c r="B52" s="161"/>
    </row>
    <row r="53" ht="14.25">
      <c r="A53" s="207" t="s">
        <v>467</v>
      </c>
    </row>
    <row r="54" ht="14.25">
      <c r="A54" s="38" t="s">
        <v>161</v>
      </c>
    </row>
    <row r="55" ht="14.25">
      <c r="B55" s="168">
        <f>SUM(Hiilijalanjäljet!K3:K44)</f>
        <v>0</v>
      </c>
    </row>
  </sheetData>
  <sheetProtection password="E765" sheet="1"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D15"/>
  <sheetViews>
    <sheetView showGridLines="0" zoomScalePageLayoutView="0" workbookViewId="0" topLeftCell="C1">
      <selection activeCell="C15" sqref="C15"/>
    </sheetView>
  </sheetViews>
  <sheetFormatPr defaultColWidth="9.140625" defaultRowHeight="15"/>
  <cols>
    <col min="1" max="3" width="15.7109375" style="1" customWidth="1"/>
    <col min="4" max="4" width="12.00390625" style="1" customWidth="1"/>
    <col min="5" max="16384" width="9.140625" style="1" customWidth="1"/>
  </cols>
  <sheetData>
    <row r="1" spans="1:2" ht="15">
      <c r="A1" s="195" t="s">
        <v>543</v>
      </c>
      <c r="B1" s="60"/>
    </row>
    <row r="2" spans="1:4" ht="15">
      <c r="A2" s="196" t="s">
        <v>544</v>
      </c>
      <c r="B2" s="87"/>
      <c r="C2" s="34"/>
      <c r="D2" s="34"/>
    </row>
    <row r="3" spans="1:4" ht="15">
      <c r="A3" s="196" t="s">
        <v>545</v>
      </c>
      <c r="B3" s="87"/>
      <c r="C3" s="34"/>
      <c r="D3" s="34"/>
    </row>
    <row r="4" spans="1:4" ht="42.75">
      <c r="A4" s="204" t="s">
        <v>546</v>
      </c>
      <c r="B4" s="208" t="s">
        <v>554</v>
      </c>
      <c r="C4" s="208" t="s">
        <v>556</v>
      </c>
      <c r="D4" s="205" t="s">
        <v>558</v>
      </c>
    </row>
    <row r="5" spans="1:4" ht="14.25">
      <c r="A5" s="204" t="s">
        <v>547</v>
      </c>
      <c r="B5" s="208" t="s">
        <v>555</v>
      </c>
      <c r="C5" s="208"/>
      <c r="D5" s="161"/>
    </row>
    <row r="6" spans="1:4" ht="14.25">
      <c r="A6" s="125" t="s">
        <v>548</v>
      </c>
      <c r="B6" s="166" t="s">
        <v>215</v>
      </c>
      <c r="C6" s="166" t="s">
        <v>217</v>
      </c>
      <c r="D6" s="161"/>
    </row>
    <row r="7" spans="1:4" ht="14.25">
      <c r="A7" s="130" t="s">
        <v>549</v>
      </c>
      <c r="B7" s="209" t="s">
        <v>215</v>
      </c>
      <c r="C7" s="209" t="s">
        <v>557</v>
      </c>
      <c r="D7" s="161"/>
    </row>
    <row r="8" spans="1:4" ht="14.25">
      <c r="A8" s="130" t="s">
        <v>550</v>
      </c>
      <c r="B8" s="209" t="s">
        <v>555</v>
      </c>
      <c r="C8" s="167"/>
      <c r="D8" s="161"/>
    </row>
    <row r="9" spans="1:4" ht="14.25">
      <c r="A9" s="130" t="s">
        <v>551</v>
      </c>
      <c r="B9" s="209" t="s">
        <v>555</v>
      </c>
      <c r="C9" s="167"/>
      <c r="D9" s="161"/>
    </row>
    <row r="10" spans="1:4" ht="14.25">
      <c r="A10" s="206" t="s">
        <v>552</v>
      </c>
      <c r="B10" s="166" t="s">
        <v>225</v>
      </c>
      <c r="C10" s="166"/>
      <c r="D10" s="161"/>
    </row>
    <row r="11" spans="1:4" ht="14.25">
      <c r="A11" s="206" t="s">
        <v>428</v>
      </c>
      <c r="B11" s="166" t="s">
        <v>555</v>
      </c>
      <c r="C11" s="166"/>
      <c r="D11" s="161"/>
    </row>
    <row r="12" spans="1:4" ht="14.25">
      <c r="A12" s="206" t="s">
        <v>553</v>
      </c>
      <c r="B12" s="166" t="s">
        <v>229</v>
      </c>
      <c r="C12" s="166"/>
      <c r="D12" s="161"/>
    </row>
    <row r="13" spans="2:4" ht="14.25">
      <c r="B13" s="169"/>
      <c r="C13" s="169"/>
      <c r="D13" s="169"/>
    </row>
    <row r="14" spans="1:4" ht="14.25">
      <c r="A14" s="200" t="s">
        <v>467</v>
      </c>
      <c r="B14" s="169"/>
      <c r="C14" s="169"/>
      <c r="D14" s="169"/>
    </row>
    <row r="15" spans="1:4" ht="14.25">
      <c r="A15" s="38" t="s">
        <v>161</v>
      </c>
      <c r="B15" s="31" t="s">
        <v>3</v>
      </c>
      <c r="C15" s="168">
        <f>SUM(Hiilijalanjäljet!N4:N11)</f>
        <v>0</v>
      </c>
      <c r="D15" s="169"/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I28"/>
  <sheetViews>
    <sheetView showGridLines="0" zoomScalePageLayoutView="0" workbookViewId="0" topLeftCell="A4">
      <selection activeCell="C24" sqref="C24"/>
    </sheetView>
  </sheetViews>
  <sheetFormatPr defaultColWidth="9.140625" defaultRowHeight="15"/>
  <cols>
    <col min="1" max="1" width="45.7109375" style="1" customWidth="1"/>
    <col min="2" max="2" width="15.7109375" style="1" customWidth="1"/>
    <col min="3" max="16384" width="9.140625" style="1" customWidth="1"/>
  </cols>
  <sheetData>
    <row r="1" spans="1:2" ht="15">
      <c r="A1" s="195" t="s">
        <v>561</v>
      </c>
      <c r="B1" s="60"/>
    </row>
    <row r="2" spans="1:9" ht="15">
      <c r="A2" s="196" t="s">
        <v>562</v>
      </c>
      <c r="B2" s="87"/>
      <c r="C2" s="34"/>
      <c r="D2" s="34"/>
      <c r="E2" s="34"/>
      <c r="F2" s="34"/>
      <c r="G2" s="34"/>
      <c r="H2" s="34"/>
      <c r="I2" s="34"/>
    </row>
    <row r="3" spans="1:9" ht="15">
      <c r="A3" s="196" t="s">
        <v>559</v>
      </c>
      <c r="B3" s="87"/>
      <c r="C3" s="34"/>
      <c r="D3" s="34"/>
      <c r="E3" s="34"/>
      <c r="F3" s="34"/>
      <c r="G3" s="34"/>
      <c r="H3" s="34"/>
      <c r="I3" s="34"/>
    </row>
    <row r="4" spans="1:9" ht="14.25">
      <c r="A4" s="196" t="s">
        <v>560</v>
      </c>
      <c r="B4" s="34"/>
      <c r="C4" s="34"/>
      <c r="D4" s="34"/>
      <c r="E4" s="34"/>
      <c r="F4" s="34"/>
      <c r="G4" s="34"/>
      <c r="H4" s="34"/>
      <c r="I4" s="34"/>
    </row>
    <row r="5" ht="15">
      <c r="A5" s="2"/>
    </row>
    <row r="6" ht="14.25">
      <c r="A6" s="210" t="s">
        <v>563</v>
      </c>
    </row>
    <row r="7" spans="1:3" ht="15">
      <c r="A7" s="170"/>
      <c r="B7" s="25" t="s">
        <v>411</v>
      </c>
      <c r="C7" s="205" t="s">
        <v>581</v>
      </c>
    </row>
    <row r="8" spans="1:3" ht="14.25">
      <c r="A8" s="51" t="s">
        <v>564</v>
      </c>
      <c r="B8" s="25" t="s">
        <v>580</v>
      </c>
      <c r="C8" s="159"/>
    </row>
    <row r="9" spans="1:3" ht="14.25">
      <c r="A9" s="51" t="s">
        <v>565</v>
      </c>
      <c r="B9" s="25" t="s">
        <v>580</v>
      </c>
      <c r="C9" s="159"/>
    </row>
    <row r="10" spans="1:3" ht="14.25">
      <c r="A10" s="51" t="s">
        <v>566</v>
      </c>
      <c r="B10" s="25" t="s">
        <v>580</v>
      </c>
      <c r="C10" s="161"/>
    </row>
    <row r="11" spans="1:3" ht="14.25">
      <c r="A11" s="51" t="s">
        <v>567</v>
      </c>
      <c r="B11" s="25" t="s">
        <v>580</v>
      </c>
      <c r="C11" s="161"/>
    </row>
    <row r="12" spans="1:3" ht="14.25">
      <c r="A12" s="51" t="s">
        <v>568</v>
      </c>
      <c r="B12" s="25" t="s">
        <v>580</v>
      </c>
      <c r="C12" s="161"/>
    </row>
    <row r="13" spans="1:3" ht="14.25">
      <c r="A13" s="51" t="s">
        <v>569</v>
      </c>
      <c r="B13" s="25" t="s">
        <v>580</v>
      </c>
      <c r="C13" s="161"/>
    </row>
    <row r="14" spans="1:3" ht="14.25">
      <c r="A14" s="211"/>
      <c r="B14" s="211"/>
      <c r="C14" s="133"/>
    </row>
    <row r="15" spans="1:3" ht="14.25">
      <c r="A15" s="171" t="s">
        <v>570</v>
      </c>
      <c r="B15" s="132"/>
      <c r="C15" s="134"/>
    </row>
    <row r="16" spans="1:3" ht="29.25">
      <c r="A16" s="170"/>
      <c r="B16" s="25" t="s">
        <v>411</v>
      </c>
      <c r="C16" s="205" t="s">
        <v>486</v>
      </c>
    </row>
    <row r="17" spans="1:3" ht="14.25">
      <c r="A17" s="51" t="s">
        <v>571</v>
      </c>
      <c r="B17" s="25" t="s">
        <v>3</v>
      </c>
      <c r="C17" s="159"/>
    </row>
    <row r="18" spans="1:3" ht="14.25">
      <c r="A18" s="51" t="s">
        <v>572</v>
      </c>
      <c r="B18" s="25" t="s">
        <v>3</v>
      </c>
      <c r="C18" s="161"/>
    </row>
    <row r="19" spans="1:3" ht="14.25">
      <c r="A19" s="51" t="s">
        <v>573</v>
      </c>
      <c r="B19" s="25" t="s">
        <v>3</v>
      </c>
      <c r="C19" s="161"/>
    </row>
    <row r="20" spans="1:3" ht="14.25">
      <c r="A20" s="51" t="s">
        <v>574</v>
      </c>
      <c r="B20" s="25" t="s">
        <v>3</v>
      </c>
      <c r="C20" s="161"/>
    </row>
    <row r="21" spans="1:3" ht="14.25">
      <c r="A21" s="51" t="s">
        <v>575</v>
      </c>
      <c r="B21" s="25" t="s">
        <v>3</v>
      </c>
      <c r="C21" s="161"/>
    </row>
    <row r="22" spans="1:3" ht="14.25">
      <c r="A22" s="51" t="s">
        <v>576</v>
      </c>
      <c r="B22" s="25" t="s">
        <v>3</v>
      </c>
      <c r="C22" s="161"/>
    </row>
    <row r="23" spans="1:3" ht="14.25">
      <c r="A23" s="51" t="s">
        <v>577</v>
      </c>
      <c r="B23" s="25" t="s">
        <v>3</v>
      </c>
      <c r="C23" s="161"/>
    </row>
    <row r="24" spans="1:3" ht="14.25">
      <c r="A24" s="51" t="s">
        <v>578</v>
      </c>
      <c r="B24" s="25" t="s">
        <v>3</v>
      </c>
      <c r="C24" s="161"/>
    </row>
    <row r="25" spans="1:3" ht="14.25">
      <c r="A25" s="51" t="s">
        <v>579</v>
      </c>
      <c r="B25" s="25" t="s">
        <v>3</v>
      </c>
      <c r="C25" s="161"/>
    </row>
    <row r="26" spans="1:3" ht="14.25">
      <c r="A26" s="212"/>
      <c r="C26" s="169"/>
    </row>
    <row r="27" spans="1:3" ht="14.25">
      <c r="A27" s="210" t="s">
        <v>467</v>
      </c>
      <c r="C27" s="169"/>
    </row>
    <row r="28" spans="1:3" ht="14.25">
      <c r="A28" s="38" t="s">
        <v>161</v>
      </c>
      <c r="B28" s="31" t="s">
        <v>3</v>
      </c>
      <c r="C28" s="168">
        <f>SUM(Hiilijalanjäljet!Q4:Q9)+SUM(Hiilijalanjäljet!Q10:Q18)</f>
        <v>0</v>
      </c>
    </row>
  </sheetData>
  <sheetProtection password="E76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etl119</dc:creator>
  <cp:keywords/>
  <dc:description/>
  <cp:lastModifiedBy>Informatör</cp:lastModifiedBy>
  <dcterms:created xsi:type="dcterms:W3CDTF">2012-06-28T06:47:11Z</dcterms:created>
  <dcterms:modified xsi:type="dcterms:W3CDTF">2016-01-17T18:38:46Z</dcterms:modified>
  <cp:category/>
  <cp:version/>
  <cp:contentType/>
  <cp:contentStatus/>
</cp:coreProperties>
</file>